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drawings/drawing7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360" yWindow="2655" windowWidth="11580" windowHeight="2970" tabRatio="800" activeTab="0"/>
  </bookViews>
  <sheets>
    <sheet name="аналіз фінансування" sheetId="1" r:id="rId1"/>
    <sheet name="апарат" sheetId="2" r:id="rId2"/>
    <sheet name="освіта" sheetId="3" r:id="rId3"/>
    <sheet name="охорона здоров'я" sheetId="4" r:id="rId4"/>
    <sheet name="культура" sheetId="5" r:id="rId5"/>
    <sheet name="фізкультура" sheetId="6" r:id="rId6"/>
    <sheet name="молодь" sheetId="7" r:id="rId7"/>
    <sheet name="ЖКГ" sheetId="8" r:id="rId8"/>
    <sheet name="галузі" sheetId="9" r:id="rId9"/>
    <sheet name="КЕКВ" sheetId="10" r:id="rId10"/>
  </sheets>
  <definedNames>
    <definedName name="_xlnm.Print_Titles" localSheetId="0">'аналіз фінансування'!$3:$5</definedName>
  </definedNames>
  <calcPr fullCalcOnLoad="1"/>
</workbook>
</file>

<file path=xl/sharedStrings.xml><?xml version="1.0" encoding="utf-8"?>
<sst xmlns="http://schemas.openxmlformats.org/spreadsheetml/2006/main" count="171" uniqueCount="123">
  <si>
    <t>Енергоносії</t>
  </si>
  <si>
    <t>Харчування</t>
  </si>
  <si>
    <t>Медикаменти</t>
  </si>
  <si>
    <t>Заробітна плата</t>
  </si>
  <si>
    <t>Фізична культура</t>
  </si>
  <si>
    <t xml:space="preserve">Заробітна плата </t>
  </si>
  <si>
    <t>Молодь</t>
  </si>
  <si>
    <t>Святкування</t>
  </si>
  <si>
    <t>фонд міського голови</t>
  </si>
  <si>
    <t>фонд депутатів</t>
  </si>
  <si>
    <t>АУП</t>
  </si>
  <si>
    <t>Соцзахист</t>
  </si>
  <si>
    <t>ЖКГ</t>
  </si>
  <si>
    <t>Фонд охорони навколишнього середовища</t>
  </si>
  <si>
    <t>Резервний фонд</t>
  </si>
  <si>
    <t>Трансферти населенню</t>
  </si>
  <si>
    <t>Міськ.прогр."Призовна дільниця"</t>
  </si>
  <si>
    <t>Засоби масової інформації</t>
  </si>
  <si>
    <t>Культура</t>
  </si>
  <si>
    <t>ВСЬОГО /загальний фонд/:</t>
  </si>
  <si>
    <t>ВСЬОГО /загальний, спеціальний фонди/:</t>
  </si>
  <si>
    <t>Будівництво /бюджет розвитку/</t>
  </si>
  <si>
    <t>Внески в стат. фонди /бюдж.розвитку/</t>
  </si>
  <si>
    <t>Охорона здоров'я</t>
  </si>
  <si>
    <t>Видатки не віднесені до основних груп</t>
  </si>
  <si>
    <t>Прогр.розвитку земельних відносин</t>
  </si>
  <si>
    <t>Цільові фонди</t>
  </si>
  <si>
    <t>Питома вага в видатках всього/на галузь</t>
  </si>
  <si>
    <t>Факт, тис.грн.</t>
  </si>
  <si>
    <t>Соснівський р-н</t>
  </si>
  <si>
    <t>Придніпровський р-н</t>
  </si>
  <si>
    <t>Рятування на водах (210110)</t>
  </si>
  <si>
    <t>енергоносії</t>
  </si>
  <si>
    <t>Освіта</t>
  </si>
  <si>
    <t>інші</t>
  </si>
  <si>
    <t>Програми</t>
  </si>
  <si>
    <t>інші видатки</t>
  </si>
  <si>
    <t>план</t>
  </si>
  <si>
    <t>факт</t>
  </si>
  <si>
    <t>Видатки всього</t>
  </si>
  <si>
    <t>програма здійснення заходів щодо мобілізації коштів</t>
  </si>
  <si>
    <t>обласний бюджет</t>
  </si>
  <si>
    <t>Дотація з державного бюджету районним бюджетам на поетапне підвищення заробітної плати</t>
  </si>
  <si>
    <t>Дотація з міського бюджету районним бюджетам</t>
  </si>
  <si>
    <t>Заходи запобігання і ліквідації НС (210105)</t>
  </si>
  <si>
    <t>Пільговий проїзд</t>
  </si>
  <si>
    <t>Міськ. програма організації і діяльності органів самоорг-ї нас-ня</t>
  </si>
  <si>
    <t>субенція держбюджету на виконання програм соц.-економічного та культурного розвитку регіонів</t>
  </si>
  <si>
    <t>Міськ.прогр.підтримки громадського транспорту (170603)</t>
  </si>
  <si>
    <t>Назва галузі</t>
  </si>
  <si>
    <t>Субвенція районним, обласному та іншим бюджетам</t>
  </si>
  <si>
    <t>інші бюджети</t>
  </si>
  <si>
    <t>Молодіжне кредитування</t>
  </si>
  <si>
    <t>в т.ч. заробітна плата</t>
  </si>
  <si>
    <t>Теріторіальні центри</t>
  </si>
  <si>
    <t>Міськ.прогр.заходів щодо розроблення стратегічного плану розвитку територіальної громади</t>
  </si>
  <si>
    <t>Соснівський район</t>
  </si>
  <si>
    <t>Придніпровський район</t>
  </si>
  <si>
    <t>Програма розвитку дизайну міського середовища та зовнішньої реклами</t>
  </si>
  <si>
    <t>Програма сприяння розвитку підприємництва</t>
  </si>
  <si>
    <t>Інші видатки /бюджет розвитку/</t>
  </si>
  <si>
    <t>Ремонт доріг (крім бюджету розвитку)</t>
  </si>
  <si>
    <t>трансферти населенню</t>
  </si>
  <si>
    <t>харчування</t>
  </si>
  <si>
    <t>Передача коштів до бюджету розвитку</t>
  </si>
  <si>
    <t>Субвенція обласному бюджету на соц-економ розвиток</t>
  </si>
  <si>
    <t>Міськ.прогр. управління об'єктами міської комун. власності</t>
  </si>
  <si>
    <t>Програма використання та охорони земель</t>
  </si>
  <si>
    <t>на фінансування амбулаторного лікування хворих нефрологічного профілю</t>
  </si>
  <si>
    <t>Субвенція обласному та державному бюджетам /бюджет розвитку/</t>
  </si>
  <si>
    <t>Міськ. прогр. управління місцевим боргом та забезпечення обігу муніципальних облігацій</t>
  </si>
  <si>
    <t>Програма зайнятості населення</t>
  </si>
  <si>
    <t>Програма підвищення енергоефективності та зменшення споживання енергоресурсів</t>
  </si>
  <si>
    <t>Програма забезпечення правопорядку в м. Черкаси (250404)</t>
  </si>
  <si>
    <t>програма забезпечення пожежної безпеки</t>
  </si>
  <si>
    <t>Субвенція державному та обласному бюджетам</t>
  </si>
  <si>
    <t>Міськ. прогр. нагородження громадян за заслуги перед м. Черкаси</t>
  </si>
  <si>
    <t>прогр.забезпечення безоплатними обідами</t>
  </si>
  <si>
    <t>прогр.щодо виплати премій учням</t>
  </si>
  <si>
    <t>прогр.виплати муніципальних стипендій</t>
  </si>
  <si>
    <t>прогр.розвитку позашкільних навч.закладів</t>
  </si>
  <si>
    <t>прогр. "Телефон довіри"</t>
  </si>
  <si>
    <t>прогр.підтримки сімей та молоді</t>
  </si>
  <si>
    <t>прогр.оздоровлення та відпочинку дітей</t>
  </si>
  <si>
    <t>прогр.сприяння проведення змагань</t>
  </si>
  <si>
    <t>прогр.розвитку культури</t>
  </si>
  <si>
    <t>прогр. "Черкаські таланти"</t>
  </si>
  <si>
    <t>прогр.виділення грантів у галузі культури</t>
  </si>
  <si>
    <t>прогр.профілактики та лікування тромбоемболічних ускладнень серцево-судинних захворювань</t>
  </si>
  <si>
    <t>прогр.забезпечення замісною ферментотерапією хворих на муковісцидоз</t>
  </si>
  <si>
    <t>прогр. "Репродуктивне здоров'я"</t>
  </si>
  <si>
    <t>прогр.забезпечення туберкулінодіагностикою дитячого населення</t>
  </si>
  <si>
    <t>прогр."Забезпечення продуктами лікувального харчування дітей, хворих на фенілкетонурію</t>
  </si>
  <si>
    <t>прогр.забезпечення діагностики невідкладних станів на комп'ютерному томографі</t>
  </si>
  <si>
    <t>прогр.розвитку паліативної допомоги</t>
  </si>
  <si>
    <t>прогр.забезпечення житлом дітей-сиріт</t>
  </si>
  <si>
    <t>Програма розвитку персоналу</t>
  </si>
  <si>
    <t>Надання пільгового довгострокового кредиту</t>
  </si>
  <si>
    <t>Програма проведення профілактичних медичних оглядів</t>
  </si>
  <si>
    <t>в т.ч. грошова допомога для оплати вартості оренди житла, що винаймається тимчасово розселеним переселенцям</t>
  </si>
  <si>
    <t>в т.ч. медикаменти</t>
  </si>
  <si>
    <t>в т.ч. за рахунок освітньої субвенції</t>
  </si>
  <si>
    <t>в т.ч. за рахунок медичної субвенції</t>
  </si>
  <si>
    <t>в т.ч. енергоносії</t>
  </si>
  <si>
    <t>Програма підтримки обороноздатності м. Черкаси</t>
  </si>
  <si>
    <t>Програма підтримки учасників антитерористичної операції</t>
  </si>
  <si>
    <t>Дорожній фонд (170703)</t>
  </si>
  <si>
    <t>Природоохоронні заходи (200600, 200700)</t>
  </si>
  <si>
    <t>Реверсна дотація (250301)</t>
  </si>
  <si>
    <t>Субвенція державному бюджету на виконання програм соціально-економічного та культурного розвитку регіонів (250344)</t>
  </si>
  <si>
    <t>Обслуговування боргу (230000)</t>
  </si>
  <si>
    <t>Пільгове перевезення (170102, 170602)</t>
  </si>
  <si>
    <t>Програма підтримки об'єднань співвласників баготоквартирних будинків ОСББ</t>
  </si>
  <si>
    <t>Програма забезпечення амбулаторного лікування хворих нефрологічного профілю</t>
  </si>
  <si>
    <t>в т.ч. трансферти населенню</t>
  </si>
  <si>
    <t>План на рік, тис.грн.</t>
  </si>
  <si>
    <t>Відхилення від плану на рік, тис.грн.</t>
  </si>
  <si>
    <t>Відсоток виконання плану на рік</t>
  </si>
  <si>
    <t>Громадський бюджет</t>
  </si>
  <si>
    <t>План на 1 квартал, тис.грн.</t>
  </si>
  <si>
    <t>Відсоток виконання плану 1-го кварталу</t>
  </si>
  <si>
    <t>Відхилення від плану 1-го кварталу, тис.грн.</t>
  </si>
  <si>
    <t>Аналіз використання коштів міського бюджету за 2016 рік станом на 16.03.2016 року</t>
  </si>
</sst>
</file>

<file path=xl/styles.xml><?xml version="1.0" encoding="utf-8"?>
<styleSheet xmlns="http://schemas.openxmlformats.org/spreadsheetml/2006/main">
  <numFmts count="20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%"/>
    <numFmt numFmtId="173" formatCode="0.0"/>
    <numFmt numFmtId="174" formatCode="#,##0.0"/>
    <numFmt numFmtId="175" formatCode="#,##0.00000"/>
  </numFmts>
  <fonts count="59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 Cyr"/>
      <family val="1"/>
    </font>
    <font>
      <sz val="14"/>
      <name val="Arial Cyr"/>
      <family val="0"/>
    </font>
    <font>
      <b/>
      <sz val="14"/>
      <name val="Arial Cyr"/>
      <family val="0"/>
    </font>
    <font>
      <b/>
      <i/>
      <sz val="14"/>
      <name val="Arial Cyr"/>
      <family val="0"/>
    </font>
    <font>
      <b/>
      <sz val="12"/>
      <name val="Arial Cyr"/>
      <family val="0"/>
    </font>
    <font>
      <i/>
      <sz val="12"/>
      <name val="Arial Cyr"/>
      <family val="0"/>
    </font>
    <font>
      <b/>
      <sz val="16"/>
      <name val="Arial Cyr"/>
      <family val="0"/>
    </font>
    <font>
      <b/>
      <sz val="10"/>
      <name val="Arial Cyr"/>
      <family val="0"/>
    </font>
    <font>
      <b/>
      <sz val="24"/>
      <name val="Arial Cyr"/>
      <family val="0"/>
    </font>
    <font>
      <i/>
      <sz val="10"/>
      <name val="Arial Cyr"/>
      <family val="0"/>
    </font>
    <font>
      <b/>
      <i/>
      <sz val="11"/>
      <name val="Arial Cyr"/>
      <family val="0"/>
    </font>
    <font>
      <i/>
      <sz val="14"/>
      <name val="Arial Cyr"/>
      <family val="0"/>
    </font>
    <font>
      <sz val="19"/>
      <color indexed="8"/>
      <name val="Arial Cyr"/>
      <family val="0"/>
    </font>
    <font>
      <sz val="14"/>
      <color indexed="8"/>
      <name val="Arial Cyr"/>
      <family val="0"/>
    </font>
    <font>
      <sz val="12"/>
      <color indexed="8"/>
      <name val="Arial Cyr"/>
      <family val="0"/>
    </font>
    <font>
      <sz val="17.45"/>
      <color indexed="8"/>
      <name val="Arial Cyr"/>
      <family val="0"/>
    </font>
    <font>
      <sz val="19.25"/>
      <color indexed="8"/>
      <name val="Arial Cyr"/>
      <family val="0"/>
    </font>
    <font>
      <sz val="10.5"/>
      <color indexed="8"/>
      <name val="Arial Cyr"/>
      <family val="0"/>
    </font>
    <font>
      <b/>
      <sz val="12"/>
      <color indexed="8"/>
      <name val="Arial Cyr"/>
      <family val="0"/>
    </font>
    <font>
      <sz val="13"/>
      <color indexed="8"/>
      <name val="Arial Cyr"/>
      <family val="0"/>
    </font>
    <font>
      <sz val="17.7"/>
      <color indexed="8"/>
      <name val="Arial Cyr"/>
      <family val="0"/>
    </font>
    <font>
      <sz val="20"/>
      <color indexed="8"/>
      <name val="Arial Cyr"/>
      <family val="0"/>
    </font>
    <font>
      <sz val="11.25"/>
      <color indexed="8"/>
      <name val="Arial Cyr"/>
      <family val="0"/>
    </font>
    <font>
      <sz val="18.4"/>
      <color indexed="8"/>
      <name val="Arial Cyr"/>
      <family val="0"/>
    </font>
    <font>
      <sz val="19.75"/>
      <color indexed="8"/>
      <name val="Arial Cyr"/>
      <family val="0"/>
    </font>
    <font>
      <sz val="18.15"/>
      <color indexed="8"/>
      <name val="Arial Cyr"/>
      <family val="0"/>
    </font>
    <font>
      <sz val="16"/>
      <color indexed="8"/>
      <name val="Arial Cyr"/>
      <family val="0"/>
    </font>
    <font>
      <sz val="11"/>
      <color indexed="8"/>
      <name val="Arial Cyr"/>
      <family val="0"/>
    </font>
    <font>
      <sz val="16.5"/>
      <color indexed="8"/>
      <name val="Arial Cyr"/>
      <family val="0"/>
    </font>
    <font>
      <sz val="15.15"/>
      <color indexed="8"/>
      <name val="Arial Cyr"/>
      <family val="0"/>
    </font>
    <font>
      <b/>
      <sz val="13"/>
      <color indexed="8"/>
      <name val="Arial Cyr"/>
      <family val="0"/>
    </font>
    <font>
      <sz val="10"/>
      <color indexed="8"/>
      <name val="Arial Cyr"/>
      <family val="0"/>
    </font>
    <font>
      <sz val="14"/>
      <color indexed="9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23"/>
      <color indexed="8"/>
      <name val="Arial Cyr"/>
      <family val="0"/>
    </font>
    <font>
      <b/>
      <sz val="24"/>
      <color indexed="8"/>
      <name val="Arial Cyr"/>
      <family val="0"/>
    </font>
    <font>
      <b/>
      <sz val="23.5"/>
      <color indexed="8"/>
      <name val="Arial Cyr"/>
      <family val="0"/>
    </font>
    <font>
      <b/>
      <sz val="23.75"/>
      <color indexed="8"/>
      <name val="Arial Cyr"/>
      <family val="0"/>
    </font>
    <font>
      <b/>
      <sz val="19.75"/>
      <color indexed="8"/>
      <name val="Arial Cyr"/>
      <family val="0"/>
    </font>
    <font>
      <b/>
      <sz val="23.25"/>
      <color indexed="8"/>
      <name val="Arial Cyr"/>
      <family val="0"/>
    </font>
    <font>
      <b/>
      <sz val="22.25"/>
      <color indexed="8"/>
      <name val="Arial Cyr"/>
      <family val="0"/>
    </font>
    <font>
      <b/>
      <sz val="14"/>
      <color indexed="9"/>
      <name val="Arial Cyr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medium"/>
      <top/>
      <bottom/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 style="medium"/>
      <right/>
      <top style="medium"/>
      <bottom style="medium"/>
    </border>
    <border>
      <left style="medium"/>
      <right style="medium"/>
      <top style="medium"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 style="medium"/>
      <top/>
      <bottom/>
    </border>
    <border>
      <left style="medium"/>
      <right/>
      <top/>
      <bottom style="medium"/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/>
      <bottom style="medium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9" borderId="0" applyNumberFormat="0" applyBorder="0" applyAlignment="0" applyProtection="0"/>
    <xf numFmtId="0" fontId="36" fillId="7" borderId="1" applyNumberFormat="0" applyAlignment="0" applyProtection="0"/>
    <xf numFmtId="0" fontId="37" fillId="20" borderId="2" applyNumberFormat="0" applyAlignment="0" applyProtection="0"/>
    <xf numFmtId="0" fontId="38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6" applyNumberFormat="0" applyFill="0" applyAlignment="0" applyProtection="0"/>
    <xf numFmtId="0" fontId="43" fillId="21" borderId="7" applyNumberFormat="0" applyAlignment="0" applyProtection="0"/>
    <xf numFmtId="0" fontId="44" fillId="0" borderId="0" applyNumberFormat="0" applyFill="0" applyBorder="0" applyAlignment="0" applyProtection="0"/>
    <xf numFmtId="0" fontId="45" fillId="22" borderId="0" applyNumberFormat="0" applyBorder="0" applyAlignment="0" applyProtection="0"/>
    <xf numFmtId="0" fontId="2" fillId="0" borderId="0">
      <alignment/>
      <protection/>
    </xf>
    <xf numFmtId="0" fontId="46" fillId="3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48" fillId="0" borderId="9" applyNumberFormat="0" applyFill="0" applyAlignment="0" applyProtection="0"/>
    <xf numFmtId="0" fontId="4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0" fillId="4" borderId="0" applyNumberFormat="0" applyBorder="0" applyAlignment="0" applyProtection="0"/>
  </cellStyleXfs>
  <cellXfs count="141">
    <xf numFmtId="0" fontId="0" fillId="0" borderId="0" xfId="0" applyAlignment="1">
      <alignment/>
    </xf>
    <xf numFmtId="173" fontId="3" fillId="0" borderId="1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173" fontId="4" fillId="24" borderId="11" xfId="0" applyNumberFormat="1" applyFont="1" applyFill="1" applyBorder="1" applyAlignment="1">
      <alignment/>
    </xf>
    <xf numFmtId="0" fontId="6" fillId="0" borderId="0" xfId="0" applyFont="1" applyAlignment="1">
      <alignment/>
    </xf>
    <xf numFmtId="173" fontId="6" fillId="0" borderId="0" xfId="0" applyNumberFormat="1" applyFont="1" applyAlignment="1">
      <alignment/>
    </xf>
    <xf numFmtId="173" fontId="4" fillId="0" borderId="10" xfId="0" applyNumberFormat="1" applyFont="1" applyFill="1" applyBorder="1" applyAlignment="1">
      <alignment/>
    </xf>
    <xf numFmtId="173" fontId="4" fillId="0" borderId="11" xfId="0" applyNumberFormat="1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12" xfId="0" applyFont="1" applyFill="1" applyBorder="1" applyAlignment="1">
      <alignment wrapText="1"/>
    </xf>
    <xf numFmtId="0" fontId="8" fillId="0" borderId="0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2" fontId="3" fillId="0" borderId="10" xfId="0" applyNumberFormat="1" applyFont="1" applyFill="1" applyBorder="1" applyAlignment="1">
      <alignment/>
    </xf>
    <xf numFmtId="0" fontId="5" fillId="24" borderId="13" xfId="0" applyFont="1" applyFill="1" applyBorder="1" applyAlignment="1">
      <alignment wrapText="1"/>
    </xf>
    <xf numFmtId="173" fontId="4" fillId="0" borderId="14" xfId="0" applyNumberFormat="1" applyFont="1" applyFill="1" applyBorder="1" applyAlignment="1">
      <alignment/>
    </xf>
    <xf numFmtId="0" fontId="9" fillId="0" borderId="0" xfId="0" applyFont="1" applyFill="1" applyAlignment="1">
      <alignment/>
    </xf>
    <xf numFmtId="0" fontId="5" fillId="0" borderId="10" xfId="0" applyFont="1" applyFill="1" applyBorder="1" applyAlignment="1">
      <alignment wrapText="1"/>
    </xf>
    <xf numFmtId="173" fontId="5" fillId="0" borderId="10" xfId="0" applyNumberFormat="1" applyFont="1" applyFill="1" applyBorder="1" applyAlignment="1">
      <alignment/>
    </xf>
    <xf numFmtId="173" fontId="0" fillId="0" borderId="11" xfId="0" applyNumberFormat="1" applyFont="1" applyFill="1" applyBorder="1" applyAlignment="1">
      <alignment/>
    </xf>
    <xf numFmtId="0" fontId="0" fillId="0" borderId="11" xfId="0" applyFont="1" applyFill="1" applyBorder="1" applyAlignment="1">
      <alignment/>
    </xf>
    <xf numFmtId="0" fontId="5" fillId="0" borderId="12" xfId="0" applyFont="1" applyFill="1" applyBorder="1" applyAlignment="1">
      <alignment wrapText="1"/>
    </xf>
    <xf numFmtId="173" fontId="5" fillId="0" borderId="15" xfId="0" applyNumberFormat="1" applyFont="1" applyFill="1" applyBorder="1" applyAlignment="1">
      <alignment/>
    </xf>
    <xf numFmtId="173" fontId="5" fillId="24" borderId="11" xfId="0" applyNumberFormat="1" applyFont="1" applyFill="1" applyBorder="1" applyAlignment="1">
      <alignment/>
    </xf>
    <xf numFmtId="173" fontId="0" fillId="0" borderId="0" xfId="0" applyNumberFormat="1" applyFont="1" applyFill="1" applyAlignment="1">
      <alignment/>
    </xf>
    <xf numFmtId="0" fontId="8" fillId="0" borderId="0" xfId="0" applyFont="1" applyFill="1" applyBorder="1" applyAlignment="1">
      <alignment horizontal="center" wrapText="1"/>
    </xf>
    <xf numFmtId="0" fontId="4" fillId="24" borderId="13" xfId="0" applyFont="1" applyFill="1" applyBorder="1" applyAlignment="1">
      <alignment wrapText="1"/>
    </xf>
    <xf numFmtId="0" fontId="3" fillId="0" borderId="12" xfId="0" applyFont="1" applyFill="1" applyBorder="1" applyAlignment="1">
      <alignment wrapText="1"/>
    </xf>
    <xf numFmtId="0" fontId="5" fillId="0" borderId="12" xfId="0" applyFont="1" applyFill="1" applyBorder="1" applyAlignment="1">
      <alignment horizontal="left" wrapText="1"/>
    </xf>
    <xf numFmtId="0" fontId="5" fillId="0" borderId="13" xfId="0" applyFont="1" applyFill="1" applyBorder="1" applyAlignment="1">
      <alignment wrapText="1"/>
    </xf>
    <xf numFmtId="0" fontId="5" fillId="0" borderId="16" xfId="0" applyFont="1" applyFill="1" applyBorder="1" applyAlignment="1">
      <alignment wrapText="1"/>
    </xf>
    <xf numFmtId="0" fontId="5" fillId="24" borderId="16" xfId="0" applyFont="1" applyFill="1" applyBorder="1" applyAlignment="1">
      <alignment wrapText="1"/>
    </xf>
    <xf numFmtId="0" fontId="5" fillId="0" borderId="14" xfId="0" applyFont="1" applyFill="1" applyBorder="1" applyAlignment="1">
      <alignment wrapText="1"/>
    </xf>
    <xf numFmtId="0" fontId="0" fillId="0" borderId="13" xfId="0" applyFont="1" applyFill="1" applyBorder="1" applyAlignment="1">
      <alignment wrapText="1"/>
    </xf>
    <xf numFmtId="0" fontId="0" fillId="0" borderId="0" xfId="0" applyFont="1" applyFill="1" applyAlignment="1">
      <alignment wrapText="1"/>
    </xf>
    <xf numFmtId="173" fontId="3" fillId="0" borderId="10" xfId="0" applyNumberFormat="1" applyFont="1" applyFill="1" applyBorder="1" applyAlignment="1">
      <alignment horizontal="center"/>
    </xf>
    <xf numFmtId="173" fontId="4" fillId="24" borderId="11" xfId="0" applyNumberFormat="1" applyFont="1" applyFill="1" applyBorder="1" applyAlignment="1">
      <alignment horizontal="center"/>
    </xf>
    <xf numFmtId="0" fontId="3" fillId="0" borderId="0" xfId="0" applyFont="1" applyFill="1" applyAlignment="1">
      <alignment/>
    </xf>
    <xf numFmtId="0" fontId="3" fillId="0" borderId="10" xfId="0" applyFont="1" applyFill="1" applyBorder="1" applyAlignment="1">
      <alignment wrapText="1"/>
    </xf>
    <xf numFmtId="0" fontId="5" fillId="0" borderId="15" xfId="0" applyFont="1" applyFill="1" applyBorder="1" applyAlignment="1">
      <alignment wrapText="1"/>
    </xf>
    <xf numFmtId="2" fontId="4" fillId="24" borderId="11" xfId="0" applyNumberFormat="1" applyFont="1" applyFill="1" applyBorder="1" applyAlignment="1">
      <alignment/>
    </xf>
    <xf numFmtId="173" fontId="4" fillId="0" borderId="15" xfId="0" applyNumberFormat="1" applyFont="1" applyFill="1" applyBorder="1" applyAlignment="1">
      <alignment/>
    </xf>
    <xf numFmtId="0" fontId="11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173" fontId="0" fillId="0" borderId="0" xfId="0" applyNumberFormat="1" applyFont="1" applyFill="1" applyBorder="1" applyAlignment="1">
      <alignment/>
    </xf>
    <xf numFmtId="173" fontId="5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wrapText="1"/>
    </xf>
    <xf numFmtId="174" fontId="3" fillId="0" borderId="12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4" fillId="24" borderId="13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/>
    </xf>
    <xf numFmtId="174" fontId="4" fillId="24" borderId="11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/>
    </xf>
    <xf numFmtId="174" fontId="3" fillId="0" borderId="10" xfId="0" applyNumberFormat="1" applyFont="1" applyFill="1" applyBorder="1" applyAlignment="1">
      <alignment horizontal="right"/>
    </xf>
    <xf numFmtId="174" fontId="4" fillId="24" borderId="11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wrapText="1"/>
    </xf>
    <xf numFmtId="174" fontId="5" fillId="0" borderId="12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 wrapText="1"/>
    </xf>
    <xf numFmtId="174" fontId="5" fillId="0" borderId="13" xfId="0" applyNumberFormat="1" applyFont="1" applyFill="1" applyBorder="1" applyAlignment="1">
      <alignment wrapText="1"/>
    </xf>
    <xf numFmtId="174" fontId="4" fillId="0" borderId="13" xfId="0" applyNumberFormat="1" applyFont="1" applyFill="1" applyBorder="1" applyAlignment="1">
      <alignment/>
    </xf>
    <xf numFmtId="174" fontId="4" fillId="0" borderId="11" xfId="0" applyNumberFormat="1" applyFont="1" applyFill="1" applyBorder="1" applyAlignment="1">
      <alignment/>
    </xf>
    <xf numFmtId="174" fontId="3" fillId="0" borderId="12" xfId="0" applyNumberFormat="1" applyFont="1" applyFill="1" applyBorder="1" applyAlignment="1">
      <alignment horizontal="right"/>
    </xf>
    <xf numFmtId="174" fontId="5" fillId="0" borderId="12" xfId="0" applyNumberFormat="1" applyFont="1" applyFill="1" applyBorder="1" applyAlignment="1">
      <alignment horizontal="left" wrapText="1"/>
    </xf>
    <xf numFmtId="174" fontId="4" fillId="0" borderId="12" xfId="0" applyNumberFormat="1" applyFont="1" applyFill="1" applyBorder="1" applyAlignment="1">
      <alignment/>
    </xf>
    <xf numFmtId="174" fontId="4" fillId="0" borderId="10" xfId="0" applyNumberFormat="1" applyFont="1" applyFill="1" applyBorder="1" applyAlignment="1">
      <alignment/>
    </xf>
    <xf numFmtId="174" fontId="5" fillId="0" borderId="13" xfId="0" applyNumberFormat="1" applyFont="1" applyFill="1" applyBorder="1" applyAlignment="1">
      <alignment/>
    </xf>
    <xf numFmtId="174" fontId="5" fillId="0" borderId="11" xfId="0" applyNumberFormat="1" applyFont="1" applyFill="1" applyBorder="1" applyAlignment="1">
      <alignment/>
    </xf>
    <xf numFmtId="174" fontId="7" fillId="0" borderId="12" xfId="0" applyNumberFormat="1" applyFont="1" applyFill="1" applyBorder="1" applyAlignment="1">
      <alignment wrapText="1"/>
    </xf>
    <xf numFmtId="174" fontId="5" fillId="0" borderId="16" xfId="0" applyNumberFormat="1" applyFont="1" applyFill="1" applyBorder="1" applyAlignment="1">
      <alignment wrapText="1"/>
    </xf>
    <xf numFmtId="174" fontId="4" fillId="0" borderId="16" xfId="0" applyNumberFormat="1" applyFont="1" applyFill="1" applyBorder="1" applyAlignment="1">
      <alignment/>
    </xf>
    <xf numFmtId="174" fontId="4" fillId="0" borderId="14" xfId="0" applyNumberFormat="1" applyFont="1" applyFill="1" applyBorder="1" applyAlignment="1">
      <alignment/>
    </xf>
    <xf numFmtId="174" fontId="5" fillId="24" borderId="16" xfId="0" applyNumberFormat="1" applyFont="1" applyFill="1" applyBorder="1" applyAlignment="1">
      <alignment wrapText="1"/>
    </xf>
    <xf numFmtId="174" fontId="4" fillId="24" borderId="16" xfId="0" applyNumberFormat="1" applyFont="1" applyFill="1" applyBorder="1" applyAlignment="1">
      <alignment/>
    </xf>
    <xf numFmtId="174" fontId="4" fillId="24" borderId="14" xfId="0" applyNumberFormat="1" applyFont="1" applyFill="1" applyBorder="1" applyAlignment="1">
      <alignment/>
    </xf>
    <xf numFmtId="174" fontId="5" fillId="0" borderId="14" xfId="0" applyNumberFormat="1" applyFont="1" applyFill="1" applyBorder="1" applyAlignment="1">
      <alignment wrapText="1"/>
    </xf>
    <xf numFmtId="174" fontId="4" fillId="0" borderId="17" xfId="0" applyNumberFormat="1" applyFont="1" applyFill="1" applyBorder="1" applyAlignment="1">
      <alignment/>
    </xf>
    <xf numFmtId="174" fontId="5" fillId="0" borderId="10" xfId="0" applyNumberFormat="1" applyFont="1" applyFill="1" applyBorder="1" applyAlignment="1">
      <alignment wrapText="1"/>
    </xf>
    <xf numFmtId="174" fontId="3" fillId="0" borderId="10" xfId="0" applyNumberFormat="1" applyFont="1" applyFill="1" applyBorder="1" applyAlignment="1">
      <alignment wrapText="1"/>
    </xf>
    <xf numFmtId="174" fontId="3" fillId="0" borderId="17" xfId="0" applyNumberFormat="1" applyFont="1" applyFill="1" applyBorder="1" applyAlignment="1">
      <alignment/>
    </xf>
    <xf numFmtId="174" fontId="5" fillId="0" borderId="17" xfId="0" applyNumberFormat="1" applyFont="1" applyFill="1" applyBorder="1" applyAlignment="1">
      <alignment/>
    </xf>
    <xf numFmtId="174" fontId="5" fillId="0" borderId="15" xfId="0" applyNumberFormat="1" applyFont="1" applyFill="1" applyBorder="1" applyAlignment="1">
      <alignment/>
    </xf>
    <xf numFmtId="174" fontId="0" fillId="0" borderId="13" xfId="0" applyNumberFormat="1" applyFont="1" applyFill="1" applyBorder="1" applyAlignment="1">
      <alignment wrapText="1"/>
    </xf>
    <xf numFmtId="174" fontId="0" fillId="0" borderId="11" xfId="0" applyNumberFormat="1" applyFont="1" applyFill="1" applyBorder="1" applyAlignment="1">
      <alignment/>
    </xf>
    <xf numFmtId="174" fontId="4" fillId="0" borderId="16" xfId="0" applyNumberFormat="1" applyFont="1" applyFill="1" applyBorder="1" applyAlignment="1">
      <alignment wrapText="1"/>
    </xf>
    <xf numFmtId="174" fontId="4" fillId="0" borderId="12" xfId="0" applyNumberFormat="1" applyFont="1" applyFill="1" applyBorder="1" applyAlignment="1">
      <alignment wrapText="1"/>
    </xf>
    <xf numFmtId="174" fontId="4" fillId="0" borderId="18" xfId="0" applyNumberFormat="1" applyFont="1" applyFill="1" applyBorder="1" applyAlignment="1">
      <alignment/>
    </xf>
    <xf numFmtId="174" fontId="5" fillId="24" borderId="11" xfId="0" applyNumberFormat="1" applyFont="1" applyFill="1" applyBorder="1" applyAlignment="1">
      <alignment/>
    </xf>
    <xf numFmtId="0" fontId="5" fillId="24" borderId="15" xfId="0" applyFont="1" applyFill="1" applyBorder="1" applyAlignment="1">
      <alignment wrapText="1"/>
    </xf>
    <xf numFmtId="174" fontId="4" fillId="24" borderId="15" xfId="0" applyNumberFormat="1" applyFont="1" applyFill="1" applyBorder="1" applyAlignment="1">
      <alignment/>
    </xf>
    <xf numFmtId="173" fontId="4" fillId="24" borderId="15" xfId="0" applyNumberFormat="1" applyFont="1" applyFill="1" applyBorder="1" applyAlignment="1">
      <alignment/>
    </xf>
    <xf numFmtId="173" fontId="3" fillId="0" borderId="14" xfId="0" applyNumberFormat="1" applyFont="1" applyFill="1" applyBorder="1" applyAlignment="1">
      <alignment/>
    </xf>
    <xf numFmtId="173" fontId="3" fillId="0" borderId="15" xfId="0" applyNumberFormat="1" applyFont="1" applyFill="1" applyBorder="1" applyAlignment="1">
      <alignment/>
    </xf>
    <xf numFmtId="0" fontId="3" fillId="0" borderId="10" xfId="0" applyFont="1" applyFill="1" applyBorder="1" applyAlignment="1">
      <alignment horizontal="left" wrapText="1"/>
    </xf>
    <xf numFmtId="0" fontId="3" fillId="0" borderId="15" xfId="0" applyFont="1" applyFill="1" applyBorder="1" applyAlignment="1">
      <alignment wrapText="1"/>
    </xf>
    <xf numFmtId="174" fontId="3" fillId="0" borderId="14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 wrapText="1"/>
    </xf>
    <xf numFmtId="174" fontId="3" fillId="0" borderId="14" xfId="0" applyNumberFormat="1" applyFont="1" applyFill="1" applyBorder="1" applyAlignment="1">
      <alignment wrapText="1"/>
    </xf>
    <xf numFmtId="172" fontId="0" fillId="0" borderId="0" xfId="0" applyNumberFormat="1" applyFont="1" applyFill="1" applyBorder="1" applyAlignment="1">
      <alignment/>
    </xf>
    <xf numFmtId="175" fontId="12" fillId="0" borderId="0" xfId="0" applyNumberFormat="1" applyFont="1" applyFill="1" applyBorder="1" applyAlignment="1">
      <alignment/>
    </xf>
    <xf numFmtId="174" fontId="5" fillId="24" borderId="13" xfId="0" applyNumberFormat="1" applyFont="1" applyFill="1" applyBorder="1" applyAlignment="1">
      <alignment/>
    </xf>
    <xf numFmtId="173" fontId="3" fillId="0" borderId="10" xfId="0" applyNumberFormat="1" applyFont="1" applyFill="1" applyBorder="1" applyAlignment="1">
      <alignment horizontal="right"/>
    </xf>
    <xf numFmtId="174" fontId="13" fillId="0" borderId="12" xfId="0" applyNumberFormat="1" applyFont="1" applyFill="1" applyBorder="1" applyAlignment="1">
      <alignment/>
    </xf>
    <xf numFmtId="173" fontId="13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horizontal="left" wrapText="1" indent="4"/>
    </xf>
    <xf numFmtId="174" fontId="13" fillId="0" borderId="12" xfId="0" applyNumberFormat="1" applyFont="1" applyFill="1" applyBorder="1" applyAlignment="1">
      <alignment wrapText="1"/>
    </xf>
    <xf numFmtId="174" fontId="4" fillId="24" borderId="13" xfId="0" applyNumberFormat="1" applyFont="1" applyFill="1" applyBorder="1" applyAlignment="1">
      <alignment vertical="center" wrapText="1"/>
    </xf>
    <xf numFmtId="173" fontId="4" fillId="25" borderId="10" xfId="0" applyNumberFormat="1" applyFont="1" applyFill="1" applyBorder="1" applyAlignment="1">
      <alignment/>
    </xf>
    <xf numFmtId="0" fontId="0" fillId="0" borderId="0" xfId="52" applyFont="1" applyBorder="1" applyAlignment="1" applyProtection="1">
      <alignment vertical="center" wrapText="1"/>
      <protection/>
    </xf>
    <xf numFmtId="174" fontId="0" fillId="0" borderId="0" xfId="52" applyNumberFormat="1" applyFont="1" applyBorder="1" applyAlignment="1" applyProtection="1">
      <alignment vertical="center" wrapText="1"/>
      <protection/>
    </xf>
    <xf numFmtId="0" fontId="4" fillId="0" borderId="0" xfId="0" applyFont="1" applyFill="1" applyAlignment="1">
      <alignment/>
    </xf>
    <xf numFmtId="173" fontId="34" fillId="0" borderId="10" xfId="0" applyNumberFormat="1" applyFont="1" applyFill="1" applyBorder="1" applyAlignment="1">
      <alignment/>
    </xf>
    <xf numFmtId="0" fontId="13" fillId="0" borderId="12" xfId="0" applyFont="1" applyFill="1" applyBorder="1" applyAlignment="1">
      <alignment wrapText="1"/>
    </xf>
    <xf numFmtId="174" fontId="13" fillId="0" borderId="10" xfId="0" applyNumberFormat="1" applyFont="1" applyFill="1" applyBorder="1" applyAlignment="1">
      <alignment/>
    </xf>
    <xf numFmtId="173" fontId="4" fillId="24" borderId="14" xfId="0" applyNumberFormat="1" applyFont="1" applyFill="1" applyBorder="1" applyAlignment="1">
      <alignment/>
    </xf>
    <xf numFmtId="173" fontId="4" fillId="24" borderId="19" xfId="0" applyNumberFormat="1" applyFont="1" applyFill="1" applyBorder="1" applyAlignment="1">
      <alignment/>
    </xf>
    <xf numFmtId="0" fontId="5" fillId="24" borderId="20" xfId="0" applyFont="1" applyFill="1" applyBorder="1" applyAlignment="1">
      <alignment wrapText="1"/>
    </xf>
    <xf numFmtId="0" fontId="3" fillId="0" borderId="21" xfId="0" applyFont="1" applyFill="1" applyBorder="1" applyAlignment="1">
      <alignment wrapText="1"/>
    </xf>
    <xf numFmtId="173" fontId="4" fillId="24" borderId="16" xfId="0" applyNumberFormat="1" applyFont="1" applyFill="1" applyBorder="1" applyAlignment="1">
      <alignment/>
    </xf>
    <xf numFmtId="174" fontId="5" fillId="24" borderId="20" xfId="0" applyNumberFormat="1" applyFont="1" applyFill="1" applyBorder="1" applyAlignment="1">
      <alignment wrapText="1"/>
    </xf>
    <xf numFmtId="174" fontId="4" fillId="24" borderId="22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 horizontal="right"/>
    </xf>
    <xf numFmtId="174" fontId="3" fillId="0" borderId="21" xfId="0" applyNumberFormat="1" applyFont="1" applyFill="1" applyBorder="1" applyAlignment="1">
      <alignment wrapText="1"/>
    </xf>
    <xf numFmtId="174" fontId="3" fillId="0" borderId="23" xfId="0" applyNumberFormat="1" applyFont="1" applyFill="1" applyBorder="1" applyAlignment="1">
      <alignment horizontal="right"/>
    </xf>
    <xf numFmtId="174" fontId="3" fillId="0" borderId="24" xfId="0" applyNumberFormat="1" applyFont="1" applyFill="1" applyBorder="1" applyAlignment="1">
      <alignment/>
    </xf>
    <xf numFmtId="173" fontId="3" fillId="0" borderId="21" xfId="0" applyNumberFormat="1" applyFont="1" applyFill="1" applyBorder="1" applyAlignment="1">
      <alignment/>
    </xf>
    <xf numFmtId="173" fontId="3" fillId="0" borderId="25" xfId="0" applyNumberFormat="1" applyFont="1" applyFill="1" applyBorder="1" applyAlignment="1">
      <alignment/>
    </xf>
    <xf numFmtId="173" fontId="3" fillId="0" borderId="23" xfId="0" applyNumberFormat="1" applyFont="1" applyFill="1" applyBorder="1" applyAlignment="1">
      <alignment/>
    </xf>
    <xf numFmtId="173" fontId="3" fillId="25" borderId="10" xfId="0" applyNumberFormat="1" applyFont="1" applyFill="1" applyBorder="1" applyAlignment="1">
      <alignment/>
    </xf>
    <xf numFmtId="174" fontId="0" fillId="0" borderId="10" xfId="0" applyNumberFormat="1" applyFont="1" applyFill="1" applyBorder="1" applyAlignment="1">
      <alignment/>
    </xf>
    <xf numFmtId="174" fontId="4" fillId="24" borderId="19" xfId="0" applyNumberFormat="1" applyFont="1" applyFill="1" applyBorder="1" applyAlignment="1">
      <alignment/>
    </xf>
    <xf numFmtId="174" fontId="3" fillId="0" borderId="26" xfId="0" applyNumberFormat="1" applyFont="1" applyFill="1" applyBorder="1" applyAlignment="1">
      <alignment/>
    </xf>
    <xf numFmtId="174" fontId="3" fillId="0" borderId="15" xfId="0" applyNumberFormat="1" applyFont="1" applyFill="1" applyBorder="1" applyAlignment="1">
      <alignment/>
    </xf>
    <xf numFmtId="173" fontId="58" fillId="0" borderId="10" xfId="0" applyNumberFormat="1" applyFont="1" applyFill="1" applyBorder="1" applyAlignment="1">
      <alignment/>
    </xf>
    <xf numFmtId="0" fontId="10" fillId="0" borderId="0" xfId="0" applyFont="1" applyFill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5" fillId="0" borderId="15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5" fillId="0" borderId="18" xfId="0" applyFont="1" applyFill="1" applyBorder="1" applyAlignment="1">
      <alignment horizontal="center" vertical="center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ZV1PIV98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dxfs count="2">
    <dxf>
      <fill>
        <patternFill patternType="solid">
          <bgColor indexed="9"/>
        </patternFill>
      </fill>
    </dxf>
    <dxf>
      <font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Апарат управлінння</a:t>
            </a:r>
          </a:p>
        </c:rich>
      </c:tx>
      <c:layout>
        <c:manualLayout>
          <c:xMode val="factor"/>
          <c:yMode val="factor"/>
          <c:x val="0.00975"/>
          <c:y val="-0.00725"/>
        </c:manualLayout>
      </c:layout>
      <c:spPr>
        <a:noFill/>
        <a:ln>
          <a:noFill/>
        </a:ln>
      </c:spPr>
    </c:title>
    <c:view3D>
      <c:rotX val="15"/>
      <c:hPercent val="47"/>
      <c:rotY val="20"/>
      <c:depthPercent val="100"/>
      <c:rAngAx val="1"/>
    </c:view3D>
    <c:plotArea>
      <c:layout>
        <c:manualLayout>
          <c:xMode val="edge"/>
          <c:yMode val="edge"/>
          <c:x val="0.13125"/>
          <c:y val="0.1505"/>
          <c:w val="0.85825"/>
          <c:h val="0.62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фінансування'!$C$89:$C$93</c:f>
              <c:numCache>
                <c:ptCount val="4"/>
                <c:pt idx="0">
                  <c:v>12545.2</c:v>
                </c:pt>
                <c:pt idx="1">
                  <c:v>10620.7</c:v>
                </c:pt>
                <c:pt idx="2">
                  <c:v>802.4</c:v>
                </c:pt>
                <c:pt idx="3">
                  <c:v>1122.1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фінансування'!$A$89:$A$93</c:f>
              <c:strCache>
                <c:ptCount val="4"/>
                <c:pt idx="0">
                  <c:v>АУП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інші</c:v>
                </c:pt>
              </c:strCache>
            </c:strRef>
          </c:cat>
          <c:val>
            <c:numRef>
              <c:f>'аналіз фінансування'!$D$89:$D$93</c:f>
              <c:numCache>
                <c:ptCount val="4"/>
                <c:pt idx="0">
                  <c:v>2820.0000000000005</c:v>
                </c:pt>
                <c:pt idx="1">
                  <c:v>2779.4</c:v>
                </c:pt>
                <c:pt idx="3">
                  <c:v>40.600000000000364</c:v>
                </c:pt>
              </c:numCache>
            </c:numRef>
          </c:val>
          <c:shape val="box"/>
        </c:ser>
        <c:shape val="box"/>
        <c:axId val="13613854"/>
        <c:axId val="55415823"/>
      </c:bar3DChart>
      <c:catAx>
        <c:axId val="1361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6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5415823"/>
        <c:crosses val="autoZero"/>
        <c:auto val="1"/>
        <c:lblOffset val="100"/>
        <c:tickLblSkip val="1"/>
        <c:noMultiLvlLbl val="0"/>
      </c:catAx>
      <c:valAx>
        <c:axId val="5541582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361385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25"/>
          <c:y val="0.92875"/>
          <c:w val="0.295"/>
          <c:h val="0.064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4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Освіта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14575"/>
          <c:y val="0.15775"/>
          <c:w val="0.84375"/>
          <c:h val="0.65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фінансування'!$C$6:$C$13</c:f>
              <c:numCache>
                <c:ptCount val="8"/>
                <c:pt idx="0">
                  <c:v>86927.3</c:v>
                </c:pt>
                <c:pt idx="1">
                  <c:v>40800.9</c:v>
                </c:pt>
                <c:pt idx="2">
                  <c:v>56790.4</c:v>
                </c:pt>
                <c:pt idx="3">
                  <c:v>2</c:v>
                </c:pt>
                <c:pt idx="4">
                  <c:v>4186.1</c:v>
                </c:pt>
                <c:pt idx="5">
                  <c:v>25515.3</c:v>
                </c:pt>
                <c:pt idx="6">
                  <c:v>40.6</c:v>
                </c:pt>
                <c:pt idx="7">
                  <c:v>392.9000000000036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фінансування'!$A$6:$A$13</c:f>
              <c:strCache>
                <c:ptCount val="8"/>
                <c:pt idx="0">
                  <c:v>Освіта</c:v>
                </c:pt>
                <c:pt idx="1">
                  <c:v>в т.ч. за рахунок освітньої субвенції</c:v>
                </c:pt>
                <c:pt idx="2">
                  <c:v>Заробітна плата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фінансування'!$D$6:$D$13</c:f>
              <c:numCache>
                <c:ptCount val="8"/>
                <c:pt idx="0">
                  <c:v>22416</c:v>
                </c:pt>
                <c:pt idx="1">
                  <c:v>12950.400000000001</c:v>
                </c:pt>
                <c:pt idx="2">
                  <c:v>20461.2</c:v>
                </c:pt>
                <c:pt idx="4">
                  <c:v>655</c:v>
                </c:pt>
                <c:pt idx="5">
                  <c:v>1285.1000000000001</c:v>
                </c:pt>
                <c:pt idx="6">
                  <c:v>5</c:v>
                </c:pt>
                <c:pt idx="7">
                  <c:v>9.699999999999136</c:v>
                </c:pt>
              </c:numCache>
            </c:numRef>
          </c:val>
          <c:shape val="box"/>
        </c:ser>
        <c:shape val="box"/>
        <c:axId val="28980360"/>
        <c:axId val="59496649"/>
      </c:bar3DChart>
      <c:catAx>
        <c:axId val="2898036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05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9496649"/>
        <c:crosses val="autoZero"/>
        <c:auto val="1"/>
        <c:lblOffset val="100"/>
        <c:tickLblSkip val="1"/>
        <c:noMultiLvlLbl val="0"/>
      </c:catAx>
      <c:valAx>
        <c:axId val="5949664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8980360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485"/>
          <c:y val="0.921"/>
          <c:w val="0.303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40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Охорона здоров'я</a:t>
            </a:r>
          </a:p>
        </c:rich>
      </c:tx>
      <c:layout>
        <c:manualLayout>
          <c:xMode val="factor"/>
          <c:yMode val="factor"/>
          <c:x val="-0.01675"/>
          <c:y val="0"/>
        </c:manualLayout>
      </c:layout>
      <c:spPr>
        <a:noFill/>
        <a:ln>
          <a:noFill/>
        </a:ln>
      </c:spPr>
    </c:title>
    <c:view3D>
      <c:rotX val="15"/>
      <c:hPercent val="45"/>
      <c:rotY val="20"/>
      <c:depthPercent val="100"/>
      <c:rAngAx val="1"/>
    </c:view3D>
    <c:plotArea>
      <c:layout>
        <c:manualLayout>
          <c:xMode val="edge"/>
          <c:yMode val="edge"/>
          <c:x val="0.06125"/>
          <c:y val="0.157"/>
          <c:w val="0.92925"/>
          <c:h val="0.65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фінансування'!$C$18:$C$25</c:f>
              <c:numCache>
                <c:ptCount val="8"/>
                <c:pt idx="0">
                  <c:v>55760</c:v>
                </c:pt>
                <c:pt idx="1">
                  <c:v>42640.5</c:v>
                </c:pt>
                <c:pt idx="2">
                  <c:v>43512.6</c:v>
                </c:pt>
                <c:pt idx="3">
                  <c:v>3450.6</c:v>
                </c:pt>
                <c:pt idx="4">
                  <c:v>874.5</c:v>
                </c:pt>
                <c:pt idx="5">
                  <c:v>6334.3</c:v>
                </c:pt>
                <c:pt idx="6">
                  <c:v>363.5</c:v>
                </c:pt>
                <c:pt idx="7">
                  <c:v>1224.500000000001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фінансування'!$A$18:$A$25</c:f>
              <c:strCache>
                <c:ptCount val="8"/>
                <c:pt idx="0">
                  <c:v>Охорона здоров'я</c:v>
                </c:pt>
                <c:pt idx="1">
                  <c:v>в т.ч. за рахунок медичної субвенції</c:v>
                </c:pt>
                <c:pt idx="2">
                  <c:v>Заробітна плата </c:v>
                </c:pt>
                <c:pt idx="3">
                  <c:v>Медикаменти</c:v>
                </c:pt>
                <c:pt idx="4">
                  <c:v>Харчування</c:v>
                </c:pt>
                <c:pt idx="5">
                  <c:v>Енергоносії</c:v>
                </c:pt>
                <c:pt idx="6">
                  <c:v>Трансферти населенню</c:v>
                </c:pt>
                <c:pt idx="7">
                  <c:v>інші</c:v>
                </c:pt>
              </c:strCache>
            </c:strRef>
          </c:cat>
          <c:val>
            <c:numRef>
              <c:f>'аналіз фінансування'!$D$18:$D$25</c:f>
              <c:numCache>
                <c:ptCount val="8"/>
                <c:pt idx="0">
                  <c:v>16532.300000000003</c:v>
                </c:pt>
                <c:pt idx="1">
                  <c:v>12698.699999999999</c:v>
                </c:pt>
                <c:pt idx="2">
                  <c:v>14411.999999999998</c:v>
                </c:pt>
                <c:pt idx="3">
                  <c:v>627.9</c:v>
                </c:pt>
                <c:pt idx="4">
                  <c:v>271.5</c:v>
                </c:pt>
                <c:pt idx="5">
                  <c:v>1021.1999999999999</c:v>
                </c:pt>
                <c:pt idx="6">
                  <c:v>101.49999999999999</c:v>
                </c:pt>
                <c:pt idx="7">
                  <c:v>98.20000000000472</c:v>
                </c:pt>
              </c:numCache>
            </c:numRef>
          </c:val>
          <c:shape val="box"/>
        </c:ser>
        <c:shape val="box"/>
        <c:axId val="65707794"/>
        <c:axId val="54499235"/>
      </c:bar3DChart>
      <c:catAx>
        <c:axId val="6570779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125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4499235"/>
        <c:crosses val="autoZero"/>
        <c:auto val="1"/>
        <c:lblOffset val="100"/>
        <c:tickLblSkip val="1"/>
        <c:noMultiLvlLbl val="0"/>
      </c:catAx>
      <c:valAx>
        <c:axId val="5449923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6570779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6475"/>
          <c:y val="0.9215"/>
          <c:w val="0.2695"/>
          <c:h val="0.07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Культура і мистецтво</a:t>
            </a:r>
          </a:p>
        </c:rich>
      </c:tx>
      <c:layout>
        <c:manualLayout>
          <c:xMode val="factor"/>
          <c:yMode val="factor"/>
          <c:x val="-0.005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75"/>
          <c:y val="0.155"/>
          <c:w val="0.87025"/>
          <c:h val="0.592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4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4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фінансування'!$C$33:$C$39</c:f>
              <c:numCache>
                <c:ptCount val="6"/>
                <c:pt idx="0">
                  <c:v>11330.2</c:v>
                </c:pt>
                <c:pt idx="1">
                  <c:v>8148.9</c:v>
                </c:pt>
                <c:pt idx="2">
                  <c:v>734.3</c:v>
                </c:pt>
                <c:pt idx="3">
                  <c:v>176.6</c:v>
                </c:pt>
                <c:pt idx="4">
                  <c:v>15.3</c:v>
                </c:pt>
                <c:pt idx="5">
                  <c:v>2255.100000000001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фінансування'!$A$33:$A$39</c:f>
              <c:strCache>
                <c:ptCount val="6"/>
                <c:pt idx="0">
                  <c:v>Культура</c:v>
                </c:pt>
                <c:pt idx="1">
                  <c:v>Заробітна плата</c:v>
                </c:pt>
                <c:pt idx="2">
                  <c:v>Енергоносії</c:v>
                </c:pt>
                <c:pt idx="3">
                  <c:v>Святкування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фінансування'!$D$33:$D$39</c:f>
              <c:numCache>
                <c:ptCount val="6"/>
                <c:pt idx="0">
                  <c:v>3128.1</c:v>
                </c:pt>
                <c:pt idx="1">
                  <c:v>2603.2</c:v>
                </c:pt>
                <c:pt idx="2">
                  <c:v>10.5</c:v>
                </c:pt>
                <c:pt idx="3">
                  <c:v>50.9</c:v>
                </c:pt>
                <c:pt idx="4">
                  <c:v>5.1</c:v>
                </c:pt>
                <c:pt idx="5">
                  <c:v>458.4000000000001</c:v>
                </c:pt>
              </c:numCache>
            </c:numRef>
          </c:val>
          <c:shape val="box"/>
        </c:ser>
        <c:shape val="box"/>
        <c:axId val="20731068"/>
        <c:axId val="52361885"/>
      </c:bar3DChart>
      <c:catAx>
        <c:axId val="2073106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52361885"/>
        <c:crosses val="autoZero"/>
        <c:auto val="1"/>
        <c:lblOffset val="100"/>
        <c:tickLblSkip val="1"/>
        <c:noMultiLvlLbl val="0"/>
      </c:catAx>
      <c:valAx>
        <c:axId val="52361885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073106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725"/>
          <c:y val="0.92075"/>
          <c:w val="0.2855"/>
          <c:h val="0.072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Фізична культура і спорт</a:t>
            </a:r>
          </a:p>
        </c:rich>
      </c:tx>
      <c:layout>
        <c:manualLayout>
          <c:xMode val="factor"/>
          <c:yMode val="factor"/>
          <c:x val="0.06525"/>
          <c:y val="0.033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28"/>
          <c:y val="0.155"/>
          <c:w val="0.86375"/>
          <c:h val="0.6347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фінансування'!$C$51:$C$56</c:f>
              <c:numCache>
                <c:ptCount val="5"/>
                <c:pt idx="0">
                  <c:v>3799</c:v>
                </c:pt>
                <c:pt idx="1">
                  <c:v>2694.2</c:v>
                </c:pt>
                <c:pt idx="2">
                  <c:v>48.5</c:v>
                </c:pt>
                <c:pt idx="3">
                  <c:v>203.6</c:v>
                </c:pt>
                <c:pt idx="4">
                  <c:v>852.7000000000002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фінансування'!$A$51:$A$56</c:f>
              <c:strCache>
                <c:ptCount val="5"/>
                <c:pt idx="0">
                  <c:v>Фізична культура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інші</c:v>
                </c:pt>
              </c:strCache>
            </c:strRef>
          </c:cat>
          <c:val>
            <c:numRef>
              <c:f>'аналіз фінансування'!$D$51:$D$56</c:f>
              <c:numCache>
                <c:ptCount val="5"/>
                <c:pt idx="0">
                  <c:v>934.4999999999999</c:v>
                </c:pt>
                <c:pt idx="1">
                  <c:v>740.5999999999999</c:v>
                </c:pt>
                <c:pt idx="2">
                  <c:v>2</c:v>
                </c:pt>
                <c:pt idx="3">
                  <c:v>11.299999999999999</c:v>
                </c:pt>
                <c:pt idx="4">
                  <c:v>180.59999999999997</c:v>
                </c:pt>
              </c:numCache>
            </c:numRef>
          </c:val>
          <c:shape val="box"/>
        </c:ser>
        <c:shape val="box"/>
        <c:axId val="1494918"/>
        <c:axId val="13454263"/>
      </c:bar3DChart>
      <c:catAx>
        <c:axId val="1494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3454263"/>
        <c:crosses val="autoZero"/>
        <c:auto val="1"/>
        <c:lblOffset val="100"/>
        <c:tickLblSkip val="2"/>
        <c:noMultiLvlLbl val="0"/>
      </c:catAx>
      <c:valAx>
        <c:axId val="1345426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494918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4"/>
          <c:y val="0.9215"/>
          <c:w val="0.293"/>
          <c:h val="0.0712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50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Молодіжні програми</a:t>
            </a:r>
          </a:p>
        </c:rich>
      </c:tx>
      <c:layout>
        <c:manualLayout>
          <c:xMode val="factor"/>
          <c:yMode val="factor"/>
          <c:x val="0.001"/>
          <c:y val="0"/>
        </c:manualLayout>
      </c:layout>
      <c:spPr>
        <a:noFill/>
        <a:ln>
          <a:noFill/>
        </a:ln>
      </c:spPr>
    </c:title>
    <c:view3D>
      <c:rotX val="15"/>
      <c:hPercent val="44"/>
      <c:rotY val="20"/>
      <c:depthPercent val="100"/>
      <c:rAngAx val="1"/>
    </c:view3D>
    <c:plotArea>
      <c:layout>
        <c:manualLayout>
          <c:xMode val="edge"/>
          <c:yMode val="edge"/>
          <c:x val="0.11325"/>
          <c:y val="0.15425"/>
          <c:w val="0.8775"/>
          <c:h val="0.6532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6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фінансування'!$C$58:$C$63</c:f>
              <c:numCache>
                <c:ptCount val="6"/>
                <c:pt idx="0">
                  <c:v>1372.3</c:v>
                </c:pt>
                <c:pt idx="1">
                  <c:v>424.5</c:v>
                </c:pt>
                <c:pt idx="2">
                  <c:v>75</c:v>
                </c:pt>
                <c:pt idx="3">
                  <c:v>164.4</c:v>
                </c:pt>
                <c:pt idx="4">
                  <c:v>669.5</c:v>
                </c:pt>
                <c:pt idx="5">
                  <c:v>38.89999999999998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1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фінансування'!$A$58:$A$63</c:f>
              <c:strCache>
                <c:ptCount val="6"/>
                <c:pt idx="0">
                  <c:v>Молодь</c:v>
                </c:pt>
                <c:pt idx="1">
                  <c:v>Заробітна плата</c:v>
                </c:pt>
                <c:pt idx="2">
                  <c:v>Харчування</c:v>
                </c:pt>
                <c:pt idx="3">
                  <c:v>Енергоносії</c:v>
                </c:pt>
                <c:pt idx="4">
                  <c:v>Трансферти населенню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фінансування'!$D$58:$D$63</c:f>
              <c:numCache>
                <c:ptCount val="6"/>
                <c:pt idx="0">
                  <c:v>121</c:v>
                </c:pt>
                <c:pt idx="1">
                  <c:v>116.3</c:v>
                </c:pt>
                <c:pt idx="3">
                  <c:v>4.7</c:v>
                </c:pt>
                <c:pt idx="5">
                  <c:v>2.6645352591003757E-15</c:v>
                </c:pt>
              </c:numCache>
            </c:numRef>
          </c:val>
          <c:shape val="box"/>
        </c:ser>
        <c:shape val="box"/>
        <c:axId val="53979504"/>
        <c:axId val="16053489"/>
      </c:bar3DChart>
      <c:catAx>
        <c:axId val="5397950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16053489"/>
        <c:crosses val="autoZero"/>
        <c:auto val="1"/>
        <c:lblOffset val="100"/>
        <c:tickLblSkip val="1"/>
        <c:noMultiLvlLbl val="0"/>
      </c:catAx>
      <c:valAx>
        <c:axId val="16053489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397950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41025"/>
          <c:y val="0.92275"/>
          <c:w val="0.295"/>
          <c:h val="0.071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7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97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ЖКГ</a:t>
            </a:r>
          </a:p>
        </c:rich>
      </c:tx>
      <c:layout>
        <c:manualLayout>
          <c:xMode val="factor"/>
          <c:yMode val="factor"/>
          <c:x val="-0.00875"/>
          <c:y val="-0.012"/>
        </c:manualLayout>
      </c:layout>
      <c:spPr>
        <a:noFill/>
        <a:ln>
          <a:noFill/>
        </a:ln>
      </c:spPr>
    </c:title>
    <c:view3D>
      <c:rotX val="15"/>
      <c:hPercent val="48"/>
      <c:rotY val="20"/>
      <c:depthPercent val="100"/>
      <c:rAngAx val="1"/>
    </c:view3D>
    <c:plotArea>
      <c:layout>
        <c:manualLayout>
          <c:xMode val="edge"/>
          <c:yMode val="edge"/>
          <c:x val="0.1305"/>
          <c:y val="0.1495"/>
          <c:w val="0.8575"/>
          <c:h val="0.668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фінансування'!$C$94</c:f>
              <c:numCache>
                <c:ptCount val="1"/>
                <c:pt idx="0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65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фінансування'!$A$94</c:f>
              <c:strCache>
                <c:ptCount val="1"/>
                <c:pt idx="0">
                  <c:v>ЖКГ</c:v>
                </c:pt>
              </c:strCache>
            </c:strRef>
          </c:cat>
          <c:val>
            <c:numRef>
              <c:f>'аналіз фінансування'!$D$94</c:f>
              <c:numCache>
                <c:ptCount val="1"/>
                <c:pt idx="0">
                  <c:v>4269.8</c:v>
                </c:pt>
              </c:numCache>
            </c:numRef>
          </c:val>
          <c:shape val="box"/>
        </c:ser>
        <c:shape val="box"/>
        <c:axId val="10263674"/>
        <c:axId val="25264203"/>
      </c:bar3DChart>
      <c:catAx>
        <c:axId val="102636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crossAx val="25264203"/>
        <c:crosses val="autoZero"/>
        <c:auto val="1"/>
        <c:lblOffset val="100"/>
        <c:tickLblSkip val="1"/>
        <c:noMultiLvlLbl val="0"/>
      </c:catAx>
      <c:valAx>
        <c:axId val="2526420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0263674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1"/>
          <c:y val="0.9255"/>
          <c:w val="0.29675"/>
          <c:h val="0.066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515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65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3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галузі</a:t>
            </a:r>
          </a:p>
        </c:rich>
      </c:tx>
      <c:layout>
        <c:manualLayout>
          <c:xMode val="factor"/>
          <c:yMode val="factor"/>
          <c:x val="-0.001"/>
          <c:y val="0"/>
        </c:manualLayout>
      </c:layout>
      <c:spPr>
        <a:noFill/>
        <a:ln>
          <a:noFill/>
        </a:ln>
      </c:spPr>
    </c:title>
    <c:view3D>
      <c:rotX val="31"/>
      <c:hPercent val="36"/>
      <c:rotY val="44"/>
      <c:depthPercent val="100"/>
      <c:rAngAx val="1"/>
    </c:view3D>
    <c:plotArea>
      <c:layout>
        <c:manualLayout>
          <c:xMode val="edge"/>
          <c:yMode val="edge"/>
          <c:x val="0.13875"/>
          <c:y val="0.17"/>
          <c:w val="0.851"/>
          <c:h val="0.587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3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3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фінансування'!$C$6,'аналіз фінансування'!$C$18,'аналіз фінансування'!$C$33,'аналіз фінансування'!$C$51,'аналіз фінансування'!$C$58,'аналіз фінансування'!$C$89,'аналіз фінансування'!$C$94)</c:f>
              <c:numCache>
                <c:ptCount val="7"/>
                <c:pt idx="0">
                  <c:v>86927.3</c:v>
                </c:pt>
                <c:pt idx="1">
                  <c:v>55760</c:v>
                </c:pt>
                <c:pt idx="2">
                  <c:v>11330.2</c:v>
                </c:pt>
                <c:pt idx="3">
                  <c:v>3799</c:v>
                </c:pt>
                <c:pt idx="4">
                  <c:v>1372.3</c:v>
                </c:pt>
                <c:pt idx="5">
                  <c:v>12545.2</c:v>
                </c:pt>
                <c:pt idx="6">
                  <c:v>15566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0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('аналіз фінансування'!$A$6,'аналіз фінансування'!$A$18,'аналіз фінансування'!$A$33,'аналіз фінансування'!$A$51,'аналіз фінансування'!$A$58,'аналіз фінансування'!$A$89,'аналіз фінансування'!$A$94)</c:f>
              <c:strCache>
                <c:ptCount val="7"/>
                <c:pt idx="0">
                  <c:v>Освіта</c:v>
                </c:pt>
                <c:pt idx="1">
                  <c:v>Охорона здоров'я</c:v>
                </c:pt>
                <c:pt idx="2">
                  <c:v>Культура</c:v>
                </c:pt>
                <c:pt idx="3">
                  <c:v>Фізична культура</c:v>
                </c:pt>
                <c:pt idx="4">
                  <c:v>Молодь</c:v>
                </c:pt>
                <c:pt idx="5">
                  <c:v>АУП</c:v>
                </c:pt>
                <c:pt idx="6">
                  <c:v>ЖКГ</c:v>
                </c:pt>
              </c:strCache>
            </c:strRef>
          </c:cat>
          <c:val>
            <c:numRef>
              <c:f>('аналіз фінансування'!$D$6,'аналіз фінансування'!$D$18,'аналіз фінансування'!$D$33,'аналіз фінансування'!$D$51,'аналіз фінансування'!$D$58,'аналіз фінансування'!$D$89,'аналіз фінансування'!$D$94)</c:f>
              <c:numCache>
                <c:ptCount val="7"/>
                <c:pt idx="0">
                  <c:v>22416</c:v>
                </c:pt>
                <c:pt idx="1">
                  <c:v>16532.300000000003</c:v>
                </c:pt>
                <c:pt idx="2">
                  <c:v>3128.1</c:v>
                </c:pt>
                <c:pt idx="3">
                  <c:v>934.4999999999999</c:v>
                </c:pt>
                <c:pt idx="4">
                  <c:v>121</c:v>
                </c:pt>
                <c:pt idx="5">
                  <c:v>2820.0000000000005</c:v>
                </c:pt>
                <c:pt idx="6">
                  <c:v>4269.8</c:v>
                </c:pt>
              </c:numCache>
            </c:numRef>
          </c:val>
          <c:shape val="box"/>
        </c:ser>
        <c:shape val="box"/>
        <c:axId val="26051236"/>
        <c:axId val="33134533"/>
      </c:bar3DChart>
      <c:catAx>
        <c:axId val="260512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33134533"/>
        <c:crosses val="autoZero"/>
        <c:auto val="1"/>
        <c:lblOffset val="100"/>
        <c:tickLblSkip val="1"/>
        <c:noMultiLvlLbl val="0"/>
      </c:catAx>
      <c:valAx>
        <c:axId val="3313453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6051236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5"/>
          <c:y val="0.89125"/>
          <c:w val="0.29125"/>
          <c:h val="0.081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77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925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225" b="1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rPr>
              <a:t>Видатки за економічною класифікацією</a:t>
            </a:r>
          </a:p>
        </c:rich>
      </c:tx>
      <c:layout>
        <c:manualLayout>
          <c:xMode val="factor"/>
          <c:yMode val="factor"/>
          <c:x val="0.034"/>
          <c:y val="-0.00175"/>
        </c:manualLayout>
      </c:layout>
      <c:spPr>
        <a:noFill/>
        <a:ln>
          <a:noFill/>
        </a:ln>
      </c:spPr>
    </c:title>
    <c:view3D>
      <c:rotX val="15"/>
      <c:hPercent val="43"/>
      <c:rotY val="20"/>
      <c:depthPercent val="100"/>
      <c:rAngAx val="1"/>
    </c:view3D>
    <c:plotArea>
      <c:layout>
        <c:manualLayout>
          <c:xMode val="edge"/>
          <c:yMode val="edge"/>
          <c:x val="0.1475"/>
          <c:y val="0.1505"/>
          <c:w val="0.84125"/>
          <c:h val="0.6565"/>
        </c:manualLayout>
      </c:layout>
      <c:bar3DChart>
        <c:barDir val="col"/>
        <c:grouping val="clustered"/>
        <c:varyColors val="0"/>
        <c:ser>
          <c:idx val="0"/>
          <c:order val="0"/>
          <c:tx>
            <c:v>Річний план</c:v>
          </c:tx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фінансування'!$C$150:$C$155</c:f>
              <c:numCache>
                <c:ptCount val="6"/>
                <c:pt idx="0">
                  <c:v>124094.59999999998</c:v>
                </c:pt>
                <c:pt idx="1">
                  <c:v>35678.700000000004</c:v>
                </c:pt>
                <c:pt idx="2">
                  <c:v>5199.3</c:v>
                </c:pt>
                <c:pt idx="3">
                  <c:v>3418.4</c:v>
                </c:pt>
                <c:pt idx="4">
                  <c:v>3452.9</c:v>
                </c:pt>
                <c:pt idx="5">
                  <c:v>37685.50000000004</c:v>
                </c:pt>
              </c:numCache>
            </c:numRef>
          </c:val>
          <c:shape val="box"/>
        </c:ser>
        <c:ser>
          <c:idx val="1"/>
          <c:order val="1"/>
          <c:tx>
            <c:v>факт</c:v>
          </c:tx>
          <c:spPr>
            <a:solidFill>
              <a:srgbClr val="993366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 Cyr"/>
                      <a:ea typeface="Arial Cyr"/>
                      <a:cs typeface="Arial Cyr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1200" b="0" i="0" u="none" baseline="0">
                    <a:solidFill>
                      <a:srgbClr val="000000"/>
                    </a:solidFill>
                    <a:latin typeface="Arial Cyr"/>
                    <a:ea typeface="Arial Cyr"/>
                    <a:cs typeface="Arial Cyr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'аналіз фінансування'!$A$150:$A$155</c:f>
              <c:strCache>
                <c:ptCount val="6"/>
                <c:pt idx="0">
                  <c:v>Заробітна плата </c:v>
                </c:pt>
                <c:pt idx="1">
                  <c:v>Енергоносії</c:v>
                </c:pt>
                <c:pt idx="2">
                  <c:v>Харчування</c:v>
                </c:pt>
                <c:pt idx="3">
                  <c:v>Трансферти населенню</c:v>
                </c:pt>
                <c:pt idx="4">
                  <c:v>Медикаменти</c:v>
                </c:pt>
                <c:pt idx="5">
                  <c:v>інші</c:v>
                </c:pt>
              </c:strCache>
            </c:strRef>
          </c:cat>
          <c:val>
            <c:numRef>
              <c:f>'аналіз фінансування'!$D$150:$D$155</c:f>
              <c:numCache>
                <c:ptCount val="6"/>
                <c:pt idx="0">
                  <c:v>41678.5</c:v>
                </c:pt>
                <c:pt idx="1">
                  <c:v>2392.3</c:v>
                </c:pt>
                <c:pt idx="2">
                  <c:v>928.5</c:v>
                </c:pt>
                <c:pt idx="3">
                  <c:v>563.3</c:v>
                </c:pt>
                <c:pt idx="4">
                  <c:v>627.9</c:v>
                </c:pt>
                <c:pt idx="5">
                  <c:v>7697.900000000003</c:v>
                </c:pt>
              </c:numCache>
            </c:numRef>
          </c:val>
          <c:shape val="box"/>
        </c:ser>
        <c:shape val="box"/>
        <c:axId val="29775342"/>
        <c:axId val="66651487"/>
      </c:bar3DChart>
      <c:catAx>
        <c:axId val="2977534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 Cyr"/>
                <a:ea typeface="Arial Cyr"/>
                <a:cs typeface="Arial Cyr"/>
              </a:defRPr>
            </a:pPr>
          </a:p>
        </c:txPr>
        <c:crossAx val="66651487"/>
        <c:crosses val="autoZero"/>
        <c:auto val="1"/>
        <c:lblOffset val="100"/>
        <c:tickLblSkip val="1"/>
        <c:noMultiLvlLbl val="0"/>
      </c:catAx>
      <c:valAx>
        <c:axId val="66651487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9775342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505"/>
          <c:y val="0.9145"/>
          <c:w val="0.297"/>
          <c:h val="0.07275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</a:ln>
      </c:spPr>
      <c:txPr>
        <a:bodyPr vert="horz" rot="0"/>
        <a:lstStyle/>
        <a:p>
          <a:pPr>
            <a:defRPr lang="en-US" cap="none" sz="1840" b="0" i="0" u="none" baseline="0">
              <a:solidFill>
                <a:srgbClr val="000000"/>
              </a:solidFill>
              <a:latin typeface="Arial Cyr"/>
              <a:ea typeface="Arial Cyr"/>
              <a:cs typeface="Arial Cyr"/>
            </a:defRPr>
          </a:pPr>
        </a:p>
      </c:txPr>
    </c:legend>
    <c:floor>
      <c:spPr>
        <a:solidFill>
          <a:srgbClr val="C0C0C0"/>
        </a:solidFill>
        <a:ln w="3175">
          <a:solidFill>
            <a:srgbClr val="000000"/>
          </a:solidFill>
        </a:ln>
      </c:spP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2000" b="0" i="0" u="none" baseline="0">
          <a:solidFill>
            <a:srgbClr val="000000"/>
          </a:solidFill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0</xdr:row>
      <xdr:rowOff>0</xdr:rowOff>
    </xdr:from>
    <xdr:to>
      <xdr:col>14</xdr:col>
      <xdr:colOff>342900</xdr:colOff>
      <xdr:row>33</xdr:row>
      <xdr:rowOff>85725</xdr:rowOff>
    </xdr:to>
    <xdr:graphicFrame>
      <xdr:nvGraphicFramePr>
        <xdr:cNvPr id="1" name="Диаграмма 1"/>
        <xdr:cNvGraphicFramePr/>
      </xdr:nvGraphicFramePr>
      <xdr:xfrm>
        <a:off x="0" y="0"/>
        <a:ext cx="9944100" cy="54292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28575</xdr:rowOff>
    </xdr:from>
    <xdr:to>
      <xdr:col>14</xdr:col>
      <xdr:colOff>523875</xdr:colOff>
      <xdr:row>32</xdr:row>
      <xdr:rowOff>123825</xdr:rowOff>
    </xdr:to>
    <xdr:graphicFrame>
      <xdr:nvGraphicFramePr>
        <xdr:cNvPr id="1" name="Диаграмма 1"/>
        <xdr:cNvGraphicFramePr/>
      </xdr:nvGraphicFramePr>
      <xdr:xfrm>
        <a:off x="161925" y="28575"/>
        <a:ext cx="9963150" cy="5276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66675</xdr:rowOff>
    </xdr:from>
    <xdr:to>
      <xdr:col>16</xdr:col>
      <xdr:colOff>657225</xdr:colOff>
      <xdr:row>33</xdr:row>
      <xdr:rowOff>142875</xdr:rowOff>
    </xdr:to>
    <xdr:graphicFrame>
      <xdr:nvGraphicFramePr>
        <xdr:cNvPr id="1" name="Диаграмма 1"/>
        <xdr:cNvGraphicFramePr/>
      </xdr:nvGraphicFramePr>
      <xdr:xfrm>
        <a:off x="47625" y="66675"/>
        <a:ext cx="11582400" cy="541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85725</xdr:rowOff>
    </xdr:from>
    <xdr:to>
      <xdr:col>15</xdr:col>
      <xdr:colOff>428625</xdr:colOff>
      <xdr:row>32</xdr:row>
      <xdr:rowOff>152400</xdr:rowOff>
    </xdr:to>
    <xdr:graphicFrame>
      <xdr:nvGraphicFramePr>
        <xdr:cNvPr id="1" name="Диаграмма 1"/>
        <xdr:cNvGraphicFramePr/>
      </xdr:nvGraphicFramePr>
      <xdr:xfrm>
        <a:off x="152400" y="85725"/>
        <a:ext cx="10563225" cy="5248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28575</xdr:rowOff>
    </xdr:from>
    <xdr:to>
      <xdr:col>15</xdr:col>
      <xdr:colOff>85725</xdr:colOff>
      <xdr:row>32</xdr:row>
      <xdr:rowOff>142875</xdr:rowOff>
    </xdr:to>
    <xdr:graphicFrame>
      <xdr:nvGraphicFramePr>
        <xdr:cNvPr id="1" name="Диаграмма 1"/>
        <xdr:cNvGraphicFramePr/>
      </xdr:nvGraphicFramePr>
      <xdr:xfrm>
        <a:off x="76200" y="28575"/>
        <a:ext cx="10296525" cy="5295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38100</xdr:rowOff>
    </xdr:from>
    <xdr:to>
      <xdr:col>14</xdr:col>
      <xdr:colOff>676275</xdr:colOff>
      <xdr:row>32</xdr:row>
      <xdr:rowOff>114300</xdr:rowOff>
    </xdr:to>
    <xdr:graphicFrame>
      <xdr:nvGraphicFramePr>
        <xdr:cNvPr id="1" name="Диаграмма 1"/>
        <xdr:cNvGraphicFramePr/>
      </xdr:nvGraphicFramePr>
      <xdr:xfrm>
        <a:off x="47625" y="38100"/>
        <a:ext cx="10229850" cy="5257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581025</xdr:colOff>
      <xdr:row>4</xdr:row>
      <xdr:rowOff>28575</xdr:rowOff>
    </xdr:from>
    <xdr:to>
      <xdr:col>14</xdr:col>
      <xdr:colOff>342900</xdr:colOff>
      <xdr:row>33</xdr:row>
      <xdr:rowOff>152400</xdr:rowOff>
    </xdr:to>
    <xdr:graphicFrame>
      <xdr:nvGraphicFramePr>
        <xdr:cNvPr id="1" name="Диаграмма 4"/>
        <xdr:cNvGraphicFramePr/>
      </xdr:nvGraphicFramePr>
      <xdr:xfrm>
        <a:off x="1266825" y="676275"/>
        <a:ext cx="8620125" cy="48196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2</xdr:row>
      <xdr:rowOff>9525</xdr:rowOff>
    </xdr:from>
    <xdr:to>
      <xdr:col>14</xdr:col>
      <xdr:colOff>495300</xdr:colOff>
      <xdr:row>30</xdr:row>
      <xdr:rowOff>114300</xdr:rowOff>
    </xdr:to>
    <xdr:graphicFrame>
      <xdr:nvGraphicFramePr>
        <xdr:cNvPr id="1" name="Диаграмма 2"/>
        <xdr:cNvGraphicFramePr/>
      </xdr:nvGraphicFramePr>
      <xdr:xfrm>
        <a:off x="66675" y="409575"/>
        <a:ext cx="10382250" cy="4638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180975</xdr:rowOff>
    </xdr:from>
    <xdr:to>
      <xdr:col>15</xdr:col>
      <xdr:colOff>47625</xdr:colOff>
      <xdr:row>34</xdr:row>
      <xdr:rowOff>114300</xdr:rowOff>
    </xdr:to>
    <xdr:graphicFrame>
      <xdr:nvGraphicFramePr>
        <xdr:cNvPr id="1" name="Диаграмма 1"/>
        <xdr:cNvGraphicFramePr/>
      </xdr:nvGraphicFramePr>
      <xdr:xfrm>
        <a:off x="0" y="381000"/>
        <a:ext cx="10544175" cy="5314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2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3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405"/>
  <sheetViews>
    <sheetView tabSelected="1" view="pageBreakPreview" zoomScale="80" zoomScaleNormal="75" zoomScaleSheetLayoutView="80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7" sqref="A7"/>
      <selection pane="bottomRight" activeCell="A3" sqref="A3:A5"/>
    </sheetView>
  </sheetViews>
  <sheetFormatPr defaultColWidth="9.00390625" defaultRowHeight="12.75"/>
  <cols>
    <col min="1" max="1" width="66.875" style="33" customWidth="1"/>
    <col min="2" max="2" width="19.00390625" style="33" customWidth="1"/>
    <col min="3" max="3" width="18.625" style="11" customWidth="1"/>
    <col min="4" max="4" width="19.00390625" style="11" customWidth="1"/>
    <col min="5" max="5" width="17.25390625" style="11" customWidth="1"/>
    <col min="6" max="6" width="19.375" style="11" customWidth="1"/>
    <col min="7" max="7" width="19.625" style="11" customWidth="1"/>
    <col min="8" max="8" width="19.75390625" style="11" customWidth="1"/>
    <col min="9" max="9" width="21.00390625" style="11" customWidth="1"/>
    <col min="10" max="10" width="9.125" style="11" customWidth="1"/>
    <col min="11" max="11" width="21.125" style="11" bestFit="1" customWidth="1"/>
    <col min="12" max="12" width="31.375" style="11" bestFit="1" customWidth="1"/>
    <col min="13" max="16384" width="9.125" style="11" customWidth="1"/>
  </cols>
  <sheetData>
    <row r="1" spans="1:9" ht="30">
      <c r="A1" s="134" t="s">
        <v>122</v>
      </c>
      <c r="B1" s="134"/>
      <c r="C1" s="134"/>
      <c r="D1" s="134"/>
      <c r="E1" s="134"/>
      <c r="F1" s="134"/>
      <c r="G1" s="134"/>
      <c r="H1" s="134"/>
      <c r="I1" s="134"/>
    </row>
    <row r="2" spans="1:8" ht="9.75" customHeight="1" thickBot="1">
      <c r="A2" s="24"/>
      <c r="B2" s="24"/>
      <c r="C2" s="10"/>
      <c r="D2" s="10"/>
      <c r="E2" s="10"/>
      <c r="F2" s="10"/>
      <c r="G2" s="10"/>
      <c r="H2" s="10"/>
    </row>
    <row r="3" spans="1:9" ht="29.25" customHeight="1">
      <c r="A3" s="138" t="s">
        <v>49</v>
      </c>
      <c r="B3" s="135" t="s">
        <v>119</v>
      </c>
      <c r="C3" s="135" t="s">
        <v>115</v>
      </c>
      <c r="D3" s="135" t="s">
        <v>28</v>
      </c>
      <c r="E3" s="135" t="s">
        <v>27</v>
      </c>
      <c r="F3" s="135" t="s">
        <v>120</v>
      </c>
      <c r="G3" s="135" t="s">
        <v>117</v>
      </c>
      <c r="H3" s="135" t="s">
        <v>121</v>
      </c>
      <c r="I3" s="135" t="s">
        <v>116</v>
      </c>
    </row>
    <row r="4" spans="1:9" ht="24.75" customHeight="1">
      <c r="A4" s="139"/>
      <c r="B4" s="136"/>
      <c r="C4" s="136"/>
      <c r="D4" s="136"/>
      <c r="E4" s="136"/>
      <c r="F4" s="136"/>
      <c r="G4" s="136"/>
      <c r="H4" s="136"/>
      <c r="I4" s="136"/>
    </row>
    <row r="5" spans="1:9" ht="39" customHeight="1" thickBot="1">
      <c r="A5" s="140"/>
      <c r="B5" s="137"/>
      <c r="C5" s="137"/>
      <c r="D5" s="137"/>
      <c r="E5" s="137"/>
      <c r="F5" s="137"/>
      <c r="G5" s="137"/>
      <c r="H5" s="137"/>
      <c r="I5" s="137"/>
    </row>
    <row r="6" spans="1:9" ht="18.75" thickBot="1">
      <c r="A6" s="25" t="s">
        <v>33</v>
      </c>
      <c r="B6" s="49">
        <v>114665.2</v>
      </c>
      <c r="C6" s="50">
        <v>426773.1</v>
      </c>
      <c r="D6" s="51">
        <f>3665.2+5419.3+785.5+220.1+4705.1+6727.5+675.5+217.6+0.2+117.8+63.8+2988.6+54.7+4050.2+6796.2+2.3+3434.8+4933.2+160.9+167.4+314.1+2557.2+10885.5+1595.8+93.6-0.1+283.5+1215.4+0.6+12639.1+1592.4+1725+382.8</f>
        <v>78470.8</v>
      </c>
      <c r="E6" s="3">
        <f>D6/D149*100</f>
        <v>38.09480348874353</v>
      </c>
      <c r="F6" s="3">
        <f>D6/B6*100</f>
        <v>68.43471253702083</v>
      </c>
      <c r="G6" s="3">
        <f aca="true" t="shared" si="0" ref="G6:G43">D6/C6*100</f>
        <v>18.387007053631077</v>
      </c>
      <c r="H6" s="51">
        <f>B6-D6</f>
        <v>36194.399999999994</v>
      </c>
      <c r="I6" s="51">
        <f aca="true" t="shared" si="1" ref="I6:I43">C6-D6</f>
        <v>348302.3</v>
      </c>
    </row>
    <row r="7" spans="1:9" s="41" customFormat="1" ht="18.75">
      <c r="A7" s="112" t="s">
        <v>101</v>
      </c>
      <c r="B7" s="105">
        <v>40821.3</v>
      </c>
      <c r="C7" s="102">
        <v>185717.4</v>
      </c>
      <c r="D7" s="113">
        <f>5419.3+86.3+97.4+56.7+6727.5+560.1+2.9+0.2+1.9+63.8+1046.3+6719.3+1648.4+0.1+3694.8+239.7+583.7+0.6+6625.2+702.1+382.8+87</f>
        <v>34746.1</v>
      </c>
      <c r="E7" s="103">
        <f>D7/D6*100</f>
        <v>44.2790184374315</v>
      </c>
      <c r="F7" s="103">
        <f>D7/B7*100</f>
        <v>85.11757342367832</v>
      </c>
      <c r="G7" s="103">
        <f>D7/C7*100</f>
        <v>18.709124723908477</v>
      </c>
      <c r="H7" s="113">
        <f>B7-D7</f>
        <v>6075.200000000004</v>
      </c>
      <c r="I7" s="113">
        <f t="shared" si="1"/>
        <v>150971.3</v>
      </c>
    </row>
    <row r="8" spans="1:9" ht="18">
      <c r="A8" s="26" t="s">
        <v>3</v>
      </c>
      <c r="B8" s="46">
        <v>70327.1</v>
      </c>
      <c r="C8" s="47">
        <v>298081.6</v>
      </c>
      <c r="D8" s="48">
        <f>3665.2+5419.3+4645.9+6727.5+3.3+4022.1+5553.6+3348.6+2163.6+10156.4+7.2+0.6+10315.5</f>
        <v>56028.799999999996</v>
      </c>
      <c r="E8" s="1">
        <f>D8/D6*100</f>
        <v>71.40082680436544</v>
      </c>
      <c r="F8" s="1">
        <f>D8/B8*100</f>
        <v>79.66886164792803</v>
      </c>
      <c r="G8" s="1">
        <f t="shared" si="0"/>
        <v>18.796463787097224</v>
      </c>
      <c r="H8" s="48">
        <f>B8-D8</f>
        <v>14298.30000000001</v>
      </c>
      <c r="I8" s="48">
        <f t="shared" si="1"/>
        <v>242052.8</v>
      </c>
    </row>
    <row r="9" spans="1:9" ht="18">
      <c r="A9" s="26" t="s">
        <v>2</v>
      </c>
      <c r="B9" s="46">
        <v>14.8</v>
      </c>
      <c r="C9" s="47">
        <v>85.7</v>
      </c>
      <c r="D9" s="48">
        <f>4+2.9+1.6+0.5</f>
        <v>9</v>
      </c>
      <c r="E9" s="12">
        <f>D9/D6*100</f>
        <v>0.011469234415859147</v>
      </c>
      <c r="F9" s="128">
        <f>D9/B9*100</f>
        <v>60.810810810810814</v>
      </c>
      <c r="G9" s="1">
        <f t="shared" si="0"/>
        <v>10.501750291715286</v>
      </c>
      <c r="H9" s="48">
        <f aca="true" t="shared" si="2" ref="H9:H43">B9-D9</f>
        <v>5.800000000000001</v>
      </c>
      <c r="I9" s="48">
        <f t="shared" si="1"/>
        <v>76.7</v>
      </c>
    </row>
    <row r="10" spans="1:9" ht="18">
      <c r="A10" s="26" t="s">
        <v>1</v>
      </c>
      <c r="B10" s="46">
        <v>9384.1</v>
      </c>
      <c r="C10" s="47">
        <v>28052.9</v>
      </c>
      <c r="D10" s="52">
        <f>345.3+106.4+54.5+56.4+92.4+115.9+196.4+52.1+68.7+86.2+0.1+55.3+64.8+145.1+546+625.6+89.3+262.4+197+554.9+204.6+131+84.2</f>
        <v>4134.6</v>
      </c>
      <c r="E10" s="1">
        <f>D10/D6*100</f>
        <v>5.268966290645693</v>
      </c>
      <c r="F10" s="1">
        <f aca="true" t="shared" si="3" ref="F10:F41">D10/B10*100</f>
        <v>44.059632783111866</v>
      </c>
      <c r="G10" s="1">
        <f t="shared" si="0"/>
        <v>14.738583176783862</v>
      </c>
      <c r="H10" s="48">
        <f t="shared" si="2"/>
        <v>5249.5</v>
      </c>
      <c r="I10" s="48">
        <f t="shared" si="1"/>
        <v>23918.300000000003</v>
      </c>
    </row>
    <row r="11" spans="1:9" ht="18">
      <c r="A11" s="26" t="s">
        <v>0</v>
      </c>
      <c r="B11" s="46">
        <v>27838.8</v>
      </c>
      <c r="C11" s="47">
        <v>71654.8</v>
      </c>
      <c r="D11" s="53">
        <f>435.2+111+615.5+123.2+0.2+1.9+63.8+2790+1.3+13.9+1170.1+0.8+3680.6+96.8+2.2+30.4+160.1+658.7+3.6+0.1+13.6+960.9+1669.6+874.3+1539.2+231.8</f>
        <v>15248.800000000001</v>
      </c>
      <c r="E11" s="1">
        <f>D11/D6*100</f>
        <v>19.432451306728108</v>
      </c>
      <c r="F11" s="1">
        <f t="shared" si="3"/>
        <v>54.77534951219162</v>
      </c>
      <c r="G11" s="1">
        <f t="shared" si="0"/>
        <v>21.280919073111644</v>
      </c>
      <c r="H11" s="48">
        <f t="shared" si="2"/>
        <v>12589.999999999998</v>
      </c>
      <c r="I11" s="48">
        <f t="shared" si="1"/>
        <v>56406</v>
      </c>
    </row>
    <row r="12" spans="1:9" ht="18">
      <c r="A12" s="26" t="s">
        <v>15</v>
      </c>
      <c r="B12" s="46">
        <v>3699.2</v>
      </c>
      <c r="C12" s="47">
        <v>14712</v>
      </c>
      <c r="D12" s="48">
        <f>5+12.7+3.8+1250.6+160.8+241+218.1+277.6+20.3+413.8</f>
        <v>2603.7000000000003</v>
      </c>
      <c r="E12" s="1">
        <f>D12/D6*100</f>
        <v>3.3180495165080517</v>
      </c>
      <c r="F12" s="1">
        <f t="shared" si="3"/>
        <v>70.38548875432527</v>
      </c>
      <c r="G12" s="1">
        <f t="shared" si="0"/>
        <v>17.69779771615008</v>
      </c>
      <c r="H12" s="48">
        <f t="shared" si="2"/>
        <v>1095.4999999999995</v>
      </c>
      <c r="I12" s="48">
        <f t="shared" si="1"/>
        <v>12108.3</v>
      </c>
    </row>
    <row r="13" spans="1:9" ht="18.75" thickBot="1">
      <c r="A13" s="26" t="s">
        <v>34</v>
      </c>
      <c r="B13" s="47">
        <f>B6-B8-B9-B10-B11-B12</f>
        <v>3401.1999999999907</v>
      </c>
      <c r="C13" s="47">
        <f>C6-C8-C9-C10-C11-C12</f>
        <v>14186.099999999991</v>
      </c>
      <c r="D13" s="47">
        <f>D6-D8-D9-D10-D11-D12</f>
        <v>445.90000000000737</v>
      </c>
      <c r="E13" s="1">
        <f>D13/D6*100</f>
        <v>0.5682368473368531</v>
      </c>
      <c r="F13" s="1">
        <f t="shared" si="3"/>
        <v>13.11007879571941</v>
      </c>
      <c r="G13" s="1">
        <f t="shared" si="0"/>
        <v>3.1432176567203642</v>
      </c>
      <c r="H13" s="48">
        <f t="shared" si="2"/>
        <v>2955.2999999999834</v>
      </c>
      <c r="I13" s="48">
        <f t="shared" si="1"/>
        <v>13740.199999999984</v>
      </c>
    </row>
    <row r="14" spans="1:9" s="41" customFormat="1" ht="18.75" customHeight="1" hidden="1">
      <c r="A14" s="104" t="s">
        <v>80</v>
      </c>
      <c r="B14" s="102"/>
      <c r="C14" s="102"/>
      <c r="D14" s="102"/>
      <c r="E14" s="103"/>
      <c r="F14" s="103" t="e">
        <f>D14/B14*100</f>
        <v>#DIV/0!</v>
      </c>
      <c r="G14" s="103" t="e">
        <f>D14/C14*100</f>
        <v>#DIV/0!</v>
      </c>
      <c r="H14" s="113">
        <f>B14-D14</f>
        <v>0</v>
      </c>
      <c r="I14" s="113">
        <f>C14-D14</f>
        <v>0</v>
      </c>
    </row>
    <row r="15" spans="1:9" s="41" customFormat="1" ht="18.75" customHeight="1" hidden="1">
      <c r="A15" s="104" t="s">
        <v>77</v>
      </c>
      <c r="B15" s="102"/>
      <c r="C15" s="102"/>
      <c r="D15" s="102"/>
      <c r="E15" s="103"/>
      <c r="F15" s="103" t="e">
        <f>D15/B15*100</f>
        <v>#DIV/0!</v>
      </c>
      <c r="G15" s="103" t="e">
        <f>D15/C15*100</f>
        <v>#DIV/0!</v>
      </c>
      <c r="H15" s="113">
        <f>B15-D15</f>
        <v>0</v>
      </c>
      <c r="I15" s="113">
        <f>C15-D15</f>
        <v>0</v>
      </c>
    </row>
    <row r="16" spans="1:9" s="41" customFormat="1" ht="19.5" hidden="1" thickBot="1">
      <c r="A16" s="104" t="s">
        <v>78</v>
      </c>
      <c r="B16" s="102"/>
      <c r="C16" s="102"/>
      <c r="D16" s="102"/>
      <c r="E16" s="103"/>
      <c r="F16" s="103" t="e">
        <f>D16/B16*100</f>
        <v>#DIV/0!</v>
      </c>
      <c r="G16" s="103" t="e">
        <f>D16/C16*100</f>
        <v>#DIV/0!</v>
      </c>
      <c r="H16" s="113">
        <f>B16-D16</f>
        <v>0</v>
      </c>
      <c r="I16" s="113">
        <f>C16-D16</f>
        <v>0</v>
      </c>
    </row>
    <row r="17" spans="1:9" s="41" customFormat="1" ht="19.5" hidden="1" thickBot="1">
      <c r="A17" s="104" t="s">
        <v>79</v>
      </c>
      <c r="B17" s="102"/>
      <c r="C17" s="102"/>
      <c r="D17" s="102"/>
      <c r="E17" s="103"/>
      <c r="F17" s="103" t="e">
        <f>D17/B17*100</f>
        <v>#DIV/0!</v>
      </c>
      <c r="G17" s="103" t="e">
        <f>D17/C17*100</f>
        <v>#DIV/0!</v>
      </c>
      <c r="H17" s="113">
        <f>B17-D17</f>
        <v>0</v>
      </c>
      <c r="I17" s="113">
        <f>C17-D17</f>
        <v>0</v>
      </c>
    </row>
    <row r="18" spans="1:9" ht="18.75" thickBot="1">
      <c r="A18" s="25" t="s">
        <v>23</v>
      </c>
      <c r="B18" s="49">
        <v>60429.7</v>
      </c>
      <c r="C18" s="50">
        <v>250434.1</v>
      </c>
      <c r="D18" s="51">
        <f>5722.2+538+9070.5+238.7+827+135.9+565.7+282.3+195.5+508.6+5725.7+2584.4+8528.6+385.3+454.2+396.4+0.1+214+265.2+269.5+0.5+8027.1+27.9</f>
        <v>44963.3</v>
      </c>
      <c r="E18" s="3">
        <f>D18/D149*100</f>
        <v>21.82809500738392</v>
      </c>
      <c r="F18" s="3">
        <f>D18/B18*100</f>
        <v>74.40596263095797</v>
      </c>
      <c r="G18" s="3">
        <f t="shared" si="0"/>
        <v>17.95414442362282</v>
      </c>
      <c r="H18" s="51">
        <f>B18-D18</f>
        <v>15466.399999999994</v>
      </c>
      <c r="I18" s="51">
        <f t="shared" si="1"/>
        <v>205470.8</v>
      </c>
    </row>
    <row r="19" spans="1:9" s="41" customFormat="1" ht="18.75">
      <c r="A19" s="112" t="s">
        <v>102</v>
      </c>
      <c r="B19" s="105">
        <v>44470.7</v>
      </c>
      <c r="C19" s="102">
        <v>188049.2</v>
      </c>
      <c r="D19" s="113">
        <f>5722.2+537+5375.9+205.8+772.6+85.2+565.7+282.3+110.6+420+5725.7+2458.6+4587.6+87.8+415.3+396.4+207.1+48.5+226+0.5+7534.4</f>
        <v>35765.2</v>
      </c>
      <c r="E19" s="103">
        <f>D19/D18*100</f>
        <v>79.5430940344681</v>
      </c>
      <c r="F19" s="103">
        <f t="shared" si="3"/>
        <v>80.42418941010598</v>
      </c>
      <c r="G19" s="103">
        <f t="shared" si="0"/>
        <v>19.01906522335644</v>
      </c>
      <c r="H19" s="113">
        <f t="shared" si="2"/>
        <v>8705.5</v>
      </c>
      <c r="I19" s="113">
        <f t="shared" si="1"/>
        <v>152284</v>
      </c>
    </row>
    <row r="20" spans="1:9" ht="18">
      <c r="A20" s="26" t="s">
        <v>5</v>
      </c>
      <c r="B20" s="46">
        <v>44763.9</v>
      </c>
      <c r="C20" s="47">
        <v>186641.3</v>
      </c>
      <c r="D20" s="48">
        <f>5722.2+1+8655.9+32.9+2.4+5725.7+8251+357.7+0.1+5829.5+27.9</f>
        <v>34606.299999999996</v>
      </c>
      <c r="E20" s="1">
        <f>D20/D18*100</f>
        <v>76.96565865939554</v>
      </c>
      <c r="F20" s="1">
        <f t="shared" si="3"/>
        <v>77.30850082320796</v>
      </c>
      <c r="G20" s="1">
        <f t="shared" si="0"/>
        <v>18.541608957931604</v>
      </c>
      <c r="H20" s="48">
        <f t="shared" si="2"/>
        <v>10157.600000000006</v>
      </c>
      <c r="I20" s="48">
        <f t="shared" si="1"/>
        <v>152035</v>
      </c>
    </row>
    <row r="21" spans="1:9" ht="18">
      <c r="A21" s="26" t="s">
        <v>2</v>
      </c>
      <c r="B21" s="46">
        <v>4452.2</v>
      </c>
      <c r="C21" s="47">
        <v>20454.1</v>
      </c>
      <c r="D21" s="48">
        <f>80.5+183.6+169.4+194.4+100+1.7+148.4+215.7+278.3+117.8+152.1+196.9+0.1+12.4+249.4+61.7+746.5</f>
        <v>2908.8999999999996</v>
      </c>
      <c r="E21" s="1">
        <f>D21/D18*100</f>
        <v>6.4694984576309995</v>
      </c>
      <c r="F21" s="1">
        <f t="shared" si="3"/>
        <v>65.33623826422892</v>
      </c>
      <c r="G21" s="1">
        <f t="shared" si="0"/>
        <v>14.221598603702923</v>
      </c>
      <c r="H21" s="48">
        <f t="shared" si="2"/>
        <v>1543.3000000000002</v>
      </c>
      <c r="I21" s="48">
        <f t="shared" si="1"/>
        <v>17545.199999999997</v>
      </c>
    </row>
    <row r="22" spans="1:9" ht="18">
      <c r="A22" s="26" t="s">
        <v>1</v>
      </c>
      <c r="B22" s="46">
        <v>949.6</v>
      </c>
      <c r="C22" s="47">
        <v>3917.9</v>
      </c>
      <c r="D22" s="48">
        <f>127.7+23.6+33.5+86.7+19.5+2.9+68.3+78.1+10.6+165.4+2.5+6.5+60.2</f>
        <v>685.5</v>
      </c>
      <c r="E22" s="1">
        <f>D22/D18*100</f>
        <v>1.524576710339321</v>
      </c>
      <c r="F22" s="1">
        <f t="shared" si="3"/>
        <v>72.18828980623421</v>
      </c>
      <c r="G22" s="1">
        <f t="shared" si="0"/>
        <v>17.49661808621966</v>
      </c>
      <c r="H22" s="48">
        <f t="shared" si="2"/>
        <v>264.1</v>
      </c>
      <c r="I22" s="48">
        <f t="shared" si="1"/>
        <v>3232.4</v>
      </c>
    </row>
    <row r="23" spans="1:9" ht="18">
      <c r="A23" s="26" t="s">
        <v>0</v>
      </c>
      <c r="B23" s="46">
        <v>8710.5</v>
      </c>
      <c r="C23" s="47">
        <v>27804.4</v>
      </c>
      <c r="D23" s="48">
        <f>230.7+158.8+520.8+110.9+465.7+246.3+3.9+169.6+1975.3+126.5+2+97.4+199.5+165.4+184.4+1288.4</f>
        <v>5945.5999999999985</v>
      </c>
      <c r="E23" s="1">
        <f>D23/D18*100</f>
        <v>13.223228722091124</v>
      </c>
      <c r="F23" s="1">
        <f t="shared" si="3"/>
        <v>68.25784972160035</v>
      </c>
      <c r="G23" s="1">
        <f t="shared" si="0"/>
        <v>21.3836658946066</v>
      </c>
      <c r="H23" s="48">
        <f t="shared" si="2"/>
        <v>2764.9000000000015</v>
      </c>
      <c r="I23" s="48">
        <f t="shared" si="1"/>
        <v>21858.800000000003</v>
      </c>
    </row>
    <row r="24" spans="1:9" ht="18">
      <c r="A24" s="26" t="s">
        <v>15</v>
      </c>
      <c r="B24" s="46">
        <v>395.5</v>
      </c>
      <c r="C24" s="47">
        <v>1591.6</v>
      </c>
      <c r="D24" s="48">
        <f>73.6+22.6+5.3+2.4+2.5+128.1+0.1+11.5</f>
        <v>246.1</v>
      </c>
      <c r="E24" s="1">
        <f>D24/D18*100</f>
        <v>0.5473352712100757</v>
      </c>
      <c r="F24" s="1">
        <f t="shared" si="3"/>
        <v>62.22503160556258</v>
      </c>
      <c r="G24" s="1">
        <f t="shared" si="0"/>
        <v>15.462427745664739</v>
      </c>
      <c r="H24" s="48">
        <f t="shared" si="2"/>
        <v>149.4</v>
      </c>
      <c r="I24" s="48">
        <f t="shared" si="1"/>
        <v>1345.5</v>
      </c>
    </row>
    <row r="25" spans="1:9" ht="18.75" thickBot="1">
      <c r="A25" s="26" t="s">
        <v>34</v>
      </c>
      <c r="B25" s="47">
        <f>B18-B20-B21-B22-B23-B24</f>
        <v>1157.9999999999945</v>
      </c>
      <c r="C25" s="47">
        <f>C18-C20-C21-C22-C23-C24</f>
        <v>10024.800000000016</v>
      </c>
      <c r="D25" s="47">
        <f>D18-D20-D21-D22-D23-D24</f>
        <v>570.9000000000091</v>
      </c>
      <c r="E25" s="1">
        <f>D25/D18*100</f>
        <v>1.2697021793329428</v>
      </c>
      <c r="F25" s="1">
        <f t="shared" si="3"/>
        <v>49.30051813471604</v>
      </c>
      <c r="G25" s="1">
        <f t="shared" si="0"/>
        <v>5.694876705769772</v>
      </c>
      <c r="H25" s="48">
        <f t="shared" si="2"/>
        <v>587.0999999999855</v>
      </c>
      <c r="I25" s="48">
        <f t="shared" si="1"/>
        <v>9453.900000000007</v>
      </c>
    </row>
    <row r="26" spans="1:9" ht="57" hidden="1" thickBot="1">
      <c r="A26" s="104" t="s">
        <v>88</v>
      </c>
      <c r="B26" s="47"/>
      <c r="C26" s="47"/>
      <c r="D26" s="47"/>
      <c r="E26" s="1"/>
      <c r="F26" s="1" t="e">
        <f t="shared" si="3"/>
        <v>#DIV/0!</v>
      </c>
      <c r="G26" s="1" t="e">
        <f t="shared" si="0"/>
        <v>#DIV/0!</v>
      </c>
      <c r="H26" s="48">
        <f t="shared" si="2"/>
        <v>0</v>
      </c>
      <c r="I26" s="48">
        <f t="shared" si="1"/>
        <v>0</v>
      </c>
    </row>
    <row r="27" spans="1:9" ht="36.75" customHeight="1" hidden="1">
      <c r="A27" s="104" t="s">
        <v>89</v>
      </c>
      <c r="B27" s="47"/>
      <c r="C27" s="47"/>
      <c r="D27" s="47"/>
      <c r="E27" s="1"/>
      <c r="F27" s="1" t="e">
        <f t="shared" si="3"/>
        <v>#DIV/0!</v>
      </c>
      <c r="G27" s="1" t="e">
        <f t="shared" si="0"/>
        <v>#DIV/0!</v>
      </c>
      <c r="H27" s="48">
        <f t="shared" si="2"/>
        <v>0</v>
      </c>
      <c r="I27" s="48">
        <f t="shared" si="1"/>
        <v>0</v>
      </c>
    </row>
    <row r="28" spans="1:9" ht="19.5" hidden="1" thickBot="1">
      <c r="A28" s="104" t="s">
        <v>90</v>
      </c>
      <c r="B28" s="47"/>
      <c r="C28" s="47"/>
      <c r="D28" s="47"/>
      <c r="E28" s="1"/>
      <c r="F28" s="1" t="e">
        <f t="shared" si="3"/>
        <v>#DIV/0!</v>
      </c>
      <c r="G28" s="1" t="e">
        <f t="shared" si="0"/>
        <v>#DIV/0!</v>
      </c>
      <c r="H28" s="48">
        <f t="shared" si="2"/>
        <v>0</v>
      </c>
      <c r="I28" s="48">
        <f t="shared" si="1"/>
        <v>0</v>
      </c>
    </row>
    <row r="29" spans="1:9" ht="39.75" customHeight="1" hidden="1">
      <c r="A29" s="104" t="s">
        <v>91</v>
      </c>
      <c r="B29" s="47"/>
      <c r="C29" s="47"/>
      <c r="D29" s="47"/>
      <c r="E29" s="1"/>
      <c r="F29" s="1" t="e">
        <f t="shared" si="3"/>
        <v>#DIV/0!</v>
      </c>
      <c r="G29" s="1" t="e">
        <f t="shared" si="0"/>
        <v>#DIV/0!</v>
      </c>
      <c r="H29" s="48">
        <f t="shared" si="2"/>
        <v>0</v>
      </c>
      <c r="I29" s="48">
        <f t="shared" si="1"/>
        <v>0</v>
      </c>
    </row>
    <row r="30" spans="1:9" ht="37.5" customHeight="1" hidden="1">
      <c r="A30" s="104" t="s">
        <v>92</v>
      </c>
      <c r="B30" s="47"/>
      <c r="C30" s="47"/>
      <c r="D30" s="47"/>
      <c r="E30" s="1"/>
      <c r="F30" s="1" t="e">
        <f>D30/B30*100</f>
        <v>#DIV/0!</v>
      </c>
      <c r="G30" s="1" t="e">
        <f t="shared" si="0"/>
        <v>#DIV/0!</v>
      </c>
      <c r="H30" s="48">
        <f t="shared" si="2"/>
        <v>0</v>
      </c>
      <c r="I30" s="48">
        <f t="shared" si="1"/>
        <v>0</v>
      </c>
    </row>
    <row r="31" spans="1:9" ht="36" customHeight="1" hidden="1">
      <c r="A31" s="104" t="s">
        <v>93</v>
      </c>
      <c r="B31" s="47"/>
      <c r="C31" s="47"/>
      <c r="D31" s="47"/>
      <c r="E31" s="1"/>
      <c r="F31" s="1" t="e">
        <f t="shared" si="3"/>
        <v>#DIV/0!</v>
      </c>
      <c r="G31" s="1" t="e">
        <f t="shared" si="0"/>
        <v>#DIV/0!</v>
      </c>
      <c r="H31" s="48">
        <f t="shared" si="2"/>
        <v>0</v>
      </c>
      <c r="I31" s="48">
        <f t="shared" si="1"/>
        <v>0</v>
      </c>
    </row>
    <row r="32" spans="1:9" ht="19.5" hidden="1" thickBot="1">
      <c r="A32" s="104" t="s">
        <v>94</v>
      </c>
      <c r="B32" s="47"/>
      <c r="C32" s="47"/>
      <c r="D32" s="47"/>
      <c r="E32" s="1"/>
      <c r="F32" s="1" t="e">
        <f t="shared" si="3"/>
        <v>#DIV/0!</v>
      </c>
      <c r="G32" s="1" t="e">
        <f t="shared" si="0"/>
        <v>#DIV/0!</v>
      </c>
      <c r="H32" s="48">
        <f t="shared" si="2"/>
        <v>0</v>
      </c>
      <c r="I32" s="48">
        <f t="shared" si="1"/>
        <v>0</v>
      </c>
    </row>
    <row r="33" spans="1:9" ht="18.75" thickBot="1">
      <c r="A33" s="25" t="s">
        <v>18</v>
      </c>
      <c r="B33" s="49">
        <v>12789.8</v>
      </c>
      <c r="C33" s="50">
        <v>50266.1</v>
      </c>
      <c r="D33" s="54">
        <f>1335+343.1+78.5+19.5+60.6+1286.4+5+525.1+62.5+112+1.7+1386+0.2+29.8+71.3+135.1+1382.9+3.4+310.7+57+0.3+439.8+201.8+26+5.1+1392.8+7+56.1+51.9</f>
        <v>9386.6</v>
      </c>
      <c r="E33" s="3">
        <f>D33/D149*100</f>
        <v>4.556862965936884</v>
      </c>
      <c r="F33" s="3">
        <f>D33/B33*100</f>
        <v>73.39129618915074</v>
      </c>
      <c r="G33" s="3">
        <f t="shared" si="0"/>
        <v>18.673817940918433</v>
      </c>
      <c r="H33" s="51">
        <f t="shared" si="2"/>
        <v>3403.199999999999</v>
      </c>
      <c r="I33" s="51">
        <f t="shared" si="1"/>
        <v>40879.5</v>
      </c>
    </row>
    <row r="34" spans="1:9" ht="18">
      <c r="A34" s="26" t="s">
        <v>3</v>
      </c>
      <c r="B34" s="46">
        <v>8159.7</v>
      </c>
      <c r="C34" s="47">
        <v>35016.6</v>
      </c>
      <c r="D34" s="48">
        <f>1335+1268.2+1354.9+1304.2+1357</f>
        <v>6619.3</v>
      </c>
      <c r="E34" s="1">
        <f>D34/D33*100</f>
        <v>70.51861163786674</v>
      </c>
      <c r="F34" s="1">
        <f t="shared" si="3"/>
        <v>81.12185497015822</v>
      </c>
      <c r="G34" s="1">
        <f t="shared" si="0"/>
        <v>18.90332013959094</v>
      </c>
      <c r="H34" s="48">
        <f t="shared" si="2"/>
        <v>1540.3999999999996</v>
      </c>
      <c r="I34" s="48">
        <f t="shared" si="1"/>
        <v>28397.3</v>
      </c>
    </row>
    <row r="35" spans="1:9" ht="18" hidden="1">
      <c r="A35" s="26" t="s">
        <v>1</v>
      </c>
      <c r="B35" s="46"/>
      <c r="C35" s="47"/>
      <c r="D35" s="48"/>
      <c r="E35" s="1">
        <f>D35/D33*100</f>
        <v>0</v>
      </c>
      <c r="F35" s="1" t="e">
        <f t="shared" si="3"/>
        <v>#DIV/0!</v>
      </c>
      <c r="G35" s="1" t="e">
        <f t="shared" si="0"/>
        <v>#DIV/0!</v>
      </c>
      <c r="H35" s="48">
        <f t="shared" si="2"/>
        <v>0</v>
      </c>
      <c r="I35" s="48">
        <f t="shared" si="1"/>
        <v>0</v>
      </c>
    </row>
    <row r="36" spans="1:9" ht="18">
      <c r="A36" s="26" t="s">
        <v>0</v>
      </c>
      <c r="B36" s="46">
        <v>1373.9</v>
      </c>
      <c r="C36" s="47">
        <v>3384.4</v>
      </c>
      <c r="D36" s="48">
        <f>10.5+61.2+112+1.1+10.5+29.3+0.6+6.8+9.7+3.4+19.2+41.9-0.2+31.7+187.3+26+0.6+2.4</f>
        <v>554</v>
      </c>
      <c r="E36" s="1">
        <f>D36/D33*100</f>
        <v>5.902030554194277</v>
      </c>
      <c r="F36" s="1">
        <f t="shared" si="3"/>
        <v>40.32316762500909</v>
      </c>
      <c r="G36" s="1">
        <f t="shared" si="0"/>
        <v>16.369223496040657</v>
      </c>
      <c r="H36" s="48">
        <f t="shared" si="2"/>
        <v>819.9000000000001</v>
      </c>
      <c r="I36" s="48">
        <f t="shared" si="1"/>
        <v>2830.4</v>
      </c>
    </row>
    <row r="37" spans="1:9" s="41" customFormat="1" ht="18.75">
      <c r="A37" s="20" t="s">
        <v>7</v>
      </c>
      <c r="B37" s="55">
        <v>91.1</v>
      </c>
      <c r="C37" s="56">
        <v>929.3</v>
      </c>
      <c r="D37" s="57">
        <f>11.2+19.5+15.2+5+5.7-0.1+1.9+5.1+7+0.3</f>
        <v>70.8</v>
      </c>
      <c r="E37" s="17">
        <f>D37/D33*100</f>
        <v>0.7542667206443228</v>
      </c>
      <c r="F37" s="17">
        <f t="shared" si="3"/>
        <v>77.71679473106477</v>
      </c>
      <c r="G37" s="17">
        <f t="shared" si="0"/>
        <v>7.6186376842784895</v>
      </c>
      <c r="H37" s="57">
        <f t="shared" si="2"/>
        <v>20.299999999999997</v>
      </c>
      <c r="I37" s="57">
        <f t="shared" si="1"/>
        <v>858.5</v>
      </c>
    </row>
    <row r="38" spans="1:9" ht="18">
      <c r="A38" s="26" t="s">
        <v>15</v>
      </c>
      <c r="B38" s="46">
        <v>15.3</v>
      </c>
      <c r="C38" s="47">
        <v>60.8</v>
      </c>
      <c r="D38" s="47">
        <f>5.1+5.1</f>
        <v>10.2</v>
      </c>
      <c r="E38" s="1">
        <f>D38/D33*100</f>
        <v>0.10866554449960582</v>
      </c>
      <c r="F38" s="1">
        <f t="shared" si="3"/>
        <v>66.66666666666666</v>
      </c>
      <c r="G38" s="1">
        <f t="shared" si="0"/>
        <v>16.776315789473685</v>
      </c>
      <c r="H38" s="48">
        <f t="shared" si="2"/>
        <v>5.100000000000001</v>
      </c>
      <c r="I38" s="48">
        <f t="shared" si="1"/>
        <v>50.599999999999994</v>
      </c>
    </row>
    <row r="39" spans="1:9" ht="18.75" thickBot="1">
      <c r="A39" s="26" t="s">
        <v>34</v>
      </c>
      <c r="B39" s="46">
        <f>B33-B34-B36-B37-B35-B38</f>
        <v>3149.7999999999993</v>
      </c>
      <c r="C39" s="46">
        <f>C33-C34-C36-C37-C35-C38</f>
        <v>10875.000000000002</v>
      </c>
      <c r="D39" s="46">
        <f>D33-D34-D36-D37-D35-D38</f>
        <v>2132.3</v>
      </c>
      <c r="E39" s="1">
        <f>D39/D33*100</f>
        <v>22.71642554279505</v>
      </c>
      <c r="F39" s="1">
        <f t="shared" si="3"/>
        <v>67.69636167375708</v>
      </c>
      <c r="G39" s="1">
        <f t="shared" si="0"/>
        <v>19.607356321839077</v>
      </c>
      <c r="H39" s="48">
        <f>B39-D39</f>
        <v>1017.4999999999991</v>
      </c>
      <c r="I39" s="48">
        <f t="shared" si="1"/>
        <v>8742.7</v>
      </c>
    </row>
    <row r="40" spans="1:9" ht="19.5" hidden="1" thickBot="1">
      <c r="A40" s="104" t="s">
        <v>85</v>
      </c>
      <c r="B40" s="105"/>
      <c r="C40" s="105"/>
      <c r="D40" s="105"/>
      <c r="E40" s="103"/>
      <c r="F40" s="103" t="e">
        <f t="shared" si="3"/>
        <v>#DIV/0!</v>
      </c>
      <c r="G40" s="103" t="e">
        <f t="shared" si="0"/>
        <v>#DIV/0!</v>
      </c>
      <c r="H40" s="113">
        <f>B40-D40</f>
        <v>0</v>
      </c>
      <c r="I40" s="113">
        <f t="shared" si="1"/>
        <v>0</v>
      </c>
    </row>
    <row r="41" spans="1:9" ht="19.5" hidden="1" thickBot="1">
      <c r="A41" s="104" t="s">
        <v>86</v>
      </c>
      <c r="B41" s="105"/>
      <c r="C41" s="105"/>
      <c r="D41" s="105"/>
      <c r="E41" s="103"/>
      <c r="F41" s="103" t="e">
        <f t="shared" si="3"/>
        <v>#DIV/0!</v>
      </c>
      <c r="G41" s="103" t="e">
        <f t="shared" si="0"/>
        <v>#DIV/0!</v>
      </c>
      <c r="H41" s="113">
        <f>B41-D41</f>
        <v>0</v>
      </c>
      <c r="I41" s="113">
        <f t="shared" si="1"/>
        <v>0</v>
      </c>
    </row>
    <row r="42" spans="1:9" ht="19.5" hidden="1" thickBot="1">
      <c r="A42" s="104" t="s">
        <v>87</v>
      </c>
      <c r="B42" s="105"/>
      <c r="C42" s="105"/>
      <c r="D42" s="105"/>
      <c r="E42" s="103"/>
      <c r="F42" s="103"/>
      <c r="G42" s="103" t="e">
        <f t="shared" si="0"/>
        <v>#DIV/0!</v>
      </c>
      <c r="H42" s="113">
        <f>B42-D42</f>
        <v>0</v>
      </c>
      <c r="I42" s="113">
        <f t="shared" si="1"/>
        <v>0</v>
      </c>
    </row>
    <row r="43" spans="1:9" ht="19.5" thickBot="1">
      <c r="A43" s="13" t="s">
        <v>17</v>
      </c>
      <c r="B43" s="106">
        <v>208.1</v>
      </c>
      <c r="C43" s="50">
        <v>829.5</v>
      </c>
      <c r="D43" s="51">
        <f>22.2+3+5+12.1+5.3+62.1+8.7</f>
        <v>118.39999999999999</v>
      </c>
      <c r="E43" s="3">
        <f>D43/D149*100</f>
        <v>0.05747902064293002</v>
      </c>
      <c r="F43" s="3">
        <f>D43/B43*100</f>
        <v>56.8957232099952</v>
      </c>
      <c r="G43" s="3">
        <f t="shared" si="0"/>
        <v>14.273658830620855</v>
      </c>
      <c r="H43" s="51">
        <f t="shared" si="2"/>
        <v>89.7</v>
      </c>
      <c r="I43" s="51">
        <f t="shared" si="1"/>
        <v>711.1</v>
      </c>
    </row>
    <row r="44" spans="1:9" ht="12" customHeight="1" thickBot="1">
      <c r="A44" s="28"/>
      <c r="B44" s="59"/>
      <c r="C44" s="60"/>
      <c r="D44" s="61"/>
      <c r="E44" s="7"/>
      <c r="F44" s="7"/>
      <c r="G44" s="7"/>
      <c r="H44" s="61"/>
      <c r="I44" s="61"/>
    </row>
    <row r="45" spans="1:9" ht="18.75" thickBot="1">
      <c r="A45" s="25" t="s">
        <v>54</v>
      </c>
      <c r="B45" s="49">
        <v>1923.9</v>
      </c>
      <c r="C45" s="50">
        <v>7741.6</v>
      </c>
      <c r="D45" s="51">
        <f>224.1+260.8+14.4+236.4+3.2+114.6+291.3+0.1+96+241.4</f>
        <v>1482.3</v>
      </c>
      <c r="E45" s="3">
        <f>D45/D149*100</f>
        <v>0.7196043268497904</v>
      </c>
      <c r="F45" s="3">
        <f>D45/B45*100</f>
        <v>77.04662404490877</v>
      </c>
      <c r="G45" s="3">
        <f aca="true" t="shared" si="4" ref="G45:G75">D45/C45*100</f>
        <v>19.147204712204193</v>
      </c>
      <c r="H45" s="51">
        <f>B45-D45</f>
        <v>441.60000000000014</v>
      </c>
      <c r="I45" s="51">
        <f aca="true" t="shared" si="5" ref="I45:I76">C45-D45</f>
        <v>6259.3</v>
      </c>
    </row>
    <row r="46" spans="1:9" ht="18">
      <c r="A46" s="26" t="s">
        <v>3</v>
      </c>
      <c r="B46" s="46">
        <v>1591.2</v>
      </c>
      <c r="C46" s="47">
        <v>6753.6</v>
      </c>
      <c r="D46" s="48">
        <f>224.1+258.6+235.3+288.8+241.4</f>
        <v>1248.2</v>
      </c>
      <c r="E46" s="1">
        <f>D46/D45*100</f>
        <v>84.20697564595562</v>
      </c>
      <c r="F46" s="1">
        <f aca="true" t="shared" si="6" ref="F46:F73">D46/B46*100</f>
        <v>78.44394167923579</v>
      </c>
      <c r="G46" s="1">
        <f t="shared" si="4"/>
        <v>18.481994787964936</v>
      </c>
      <c r="H46" s="48">
        <f aca="true" t="shared" si="7" ref="H46:H73">B46-D46</f>
        <v>343</v>
      </c>
      <c r="I46" s="48">
        <f t="shared" si="5"/>
        <v>5505.400000000001</v>
      </c>
    </row>
    <row r="47" spans="1:9" ht="18">
      <c r="A47" s="26" t="s">
        <v>2</v>
      </c>
      <c r="B47" s="46">
        <v>0.8</v>
      </c>
      <c r="C47" s="47">
        <v>1.3</v>
      </c>
      <c r="D47" s="48"/>
      <c r="E47" s="1">
        <f>D47/D45*100</f>
        <v>0</v>
      </c>
      <c r="F47" s="111">
        <f t="shared" si="6"/>
        <v>0</v>
      </c>
      <c r="G47" s="1">
        <f t="shared" si="4"/>
        <v>0</v>
      </c>
      <c r="H47" s="48">
        <f t="shared" si="7"/>
        <v>0.8</v>
      </c>
      <c r="I47" s="48">
        <f t="shared" si="5"/>
        <v>1.3</v>
      </c>
    </row>
    <row r="48" spans="1:9" ht="18">
      <c r="A48" s="26" t="s">
        <v>1</v>
      </c>
      <c r="B48" s="46">
        <v>14.1</v>
      </c>
      <c r="C48" s="47">
        <v>70.7</v>
      </c>
      <c r="D48" s="48">
        <f>0.2+2.1+0.1+6.5</f>
        <v>8.9</v>
      </c>
      <c r="E48" s="1">
        <f>D48/D45*100</f>
        <v>0.6004182689064292</v>
      </c>
      <c r="F48" s="1">
        <f t="shared" si="6"/>
        <v>63.12056737588653</v>
      </c>
      <c r="G48" s="1">
        <f t="shared" si="4"/>
        <v>12.588401697312587</v>
      </c>
      <c r="H48" s="48">
        <f t="shared" si="7"/>
        <v>5.199999999999999</v>
      </c>
      <c r="I48" s="48">
        <f t="shared" si="5"/>
        <v>61.800000000000004</v>
      </c>
    </row>
    <row r="49" spans="1:9" ht="18">
      <c r="A49" s="26" t="s">
        <v>0</v>
      </c>
      <c r="B49" s="46">
        <v>241.5</v>
      </c>
      <c r="C49" s="47">
        <v>568.5</v>
      </c>
      <c r="D49" s="48">
        <f>2.2+2.5+0.8+112.4+2.2+0.1+69.1</f>
        <v>189.3</v>
      </c>
      <c r="E49" s="1">
        <f>D49/D45*100</f>
        <v>12.77069419145922</v>
      </c>
      <c r="F49" s="1">
        <f t="shared" si="6"/>
        <v>78.38509316770187</v>
      </c>
      <c r="G49" s="1">
        <f t="shared" si="4"/>
        <v>33.298153034300796</v>
      </c>
      <c r="H49" s="48">
        <f t="shared" si="7"/>
        <v>52.19999999999999</v>
      </c>
      <c r="I49" s="48">
        <f t="shared" si="5"/>
        <v>379.2</v>
      </c>
    </row>
    <row r="50" spans="1:9" ht="18.75" thickBot="1">
      <c r="A50" s="26" t="s">
        <v>34</v>
      </c>
      <c r="B50" s="47">
        <f>B45-B46-B49-B48-B47</f>
        <v>76.30000000000005</v>
      </c>
      <c r="C50" s="47">
        <f>C45-C46-C49-C48-C47</f>
        <v>347.5</v>
      </c>
      <c r="D50" s="47">
        <f>D45-D46-D49-D48-D47</f>
        <v>35.8999999999999</v>
      </c>
      <c r="E50" s="1">
        <f>D50/D45*100</f>
        <v>2.4219118936787356</v>
      </c>
      <c r="F50" s="1">
        <f t="shared" si="6"/>
        <v>47.05111402359093</v>
      </c>
      <c r="G50" s="1">
        <f t="shared" si="4"/>
        <v>10.33093525179853</v>
      </c>
      <c r="H50" s="48">
        <f t="shared" si="7"/>
        <v>40.400000000000155</v>
      </c>
      <c r="I50" s="48">
        <f t="shared" si="5"/>
        <v>311.6000000000001</v>
      </c>
    </row>
    <row r="51" spans="1:9" ht="18.75" thickBot="1">
      <c r="A51" s="25" t="s">
        <v>4</v>
      </c>
      <c r="B51" s="49">
        <v>3826.4</v>
      </c>
      <c r="C51" s="50">
        <v>16075.7</v>
      </c>
      <c r="D51" s="51">
        <f>8+294.9+37.1+10.7+29.1+464+10.3+76.6+3.8+16.5+359.8+101.4+28.4+17.4+423.7+90.6+34.9+37+0.1+9.1+9.3+297.9+22+64.6</f>
        <v>2447.2000000000003</v>
      </c>
      <c r="E51" s="3">
        <f>D51/D149*100</f>
        <v>1.1880292172075877</v>
      </c>
      <c r="F51" s="3">
        <f>D51/B51*100</f>
        <v>63.95567635375288</v>
      </c>
      <c r="G51" s="3">
        <f t="shared" si="4"/>
        <v>15.222976293411797</v>
      </c>
      <c r="H51" s="51">
        <f>B51-D51</f>
        <v>1379.1999999999998</v>
      </c>
      <c r="I51" s="51">
        <f t="shared" si="5"/>
        <v>13628.5</v>
      </c>
    </row>
    <row r="52" spans="1:9" ht="18">
      <c r="A52" s="26" t="s">
        <v>3</v>
      </c>
      <c r="B52" s="46">
        <v>2276.4</v>
      </c>
      <c r="C52" s="47">
        <v>10328.7</v>
      </c>
      <c r="D52" s="48">
        <f>8+294.9+437.7+298.5+423.7+297.9</f>
        <v>1760.6999999999998</v>
      </c>
      <c r="E52" s="1">
        <f>D52/D51*100</f>
        <v>71.94753187316115</v>
      </c>
      <c r="F52" s="1">
        <f t="shared" si="6"/>
        <v>77.34580917237743</v>
      </c>
      <c r="G52" s="1">
        <f t="shared" si="4"/>
        <v>17.046675767521563</v>
      </c>
      <c r="H52" s="48">
        <f t="shared" si="7"/>
        <v>515.7000000000003</v>
      </c>
      <c r="I52" s="48">
        <f t="shared" si="5"/>
        <v>8568</v>
      </c>
    </row>
    <row r="53" spans="1:9" ht="18">
      <c r="A53" s="26" t="s">
        <v>2</v>
      </c>
      <c r="B53" s="46">
        <v>0</v>
      </c>
      <c r="C53" s="47">
        <v>12</v>
      </c>
      <c r="D53" s="48"/>
      <c r="E53" s="1">
        <f>D53/D51*100</f>
        <v>0</v>
      </c>
      <c r="F53" s="111" t="e">
        <f t="shared" si="6"/>
        <v>#DIV/0!</v>
      </c>
      <c r="G53" s="1">
        <f t="shared" si="4"/>
        <v>0</v>
      </c>
      <c r="H53" s="48">
        <f t="shared" si="7"/>
        <v>0</v>
      </c>
      <c r="I53" s="48">
        <f t="shared" si="5"/>
        <v>12</v>
      </c>
    </row>
    <row r="54" spans="1:9" ht="18">
      <c r="A54" s="26" t="s">
        <v>1</v>
      </c>
      <c r="B54" s="46">
        <v>55.8</v>
      </c>
      <c r="C54" s="47">
        <v>287</v>
      </c>
      <c r="D54" s="48">
        <f>1.3+0.7+2.1+1+7.6</f>
        <v>12.7</v>
      </c>
      <c r="E54" s="1">
        <f>D54/D51*100</f>
        <v>0.5189604445897351</v>
      </c>
      <c r="F54" s="1">
        <f t="shared" si="6"/>
        <v>22.759856630824373</v>
      </c>
      <c r="G54" s="1">
        <f t="shared" si="4"/>
        <v>4.425087108013937</v>
      </c>
      <c r="H54" s="48">
        <f t="shared" si="7"/>
        <v>43.099999999999994</v>
      </c>
      <c r="I54" s="48">
        <f t="shared" si="5"/>
        <v>274.3</v>
      </c>
    </row>
    <row r="55" spans="1:9" ht="18">
      <c r="A55" s="26" t="s">
        <v>0</v>
      </c>
      <c r="B55" s="46">
        <v>339.3</v>
      </c>
      <c r="C55" s="47">
        <v>933.1</v>
      </c>
      <c r="D55" s="48">
        <f>10.7+0.6+7.6+85.1+28.4+14.4+0.1+8.5+0.1+7+0.1+7.7</f>
        <v>170.29999999999998</v>
      </c>
      <c r="E55" s="1">
        <f>D55/D51*100</f>
        <v>6.958973520758416</v>
      </c>
      <c r="F55" s="1">
        <f t="shared" si="6"/>
        <v>50.19157088122604</v>
      </c>
      <c r="G55" s="1">
        <f t="shared" si="4"/>
        <v>18.250991319258382</v>
      </c>
      <c r="H55" s="48">
        <f t="shared" si="7"/>
        <v>169.00000000000003</v>
      </c>
      <c r="I55" s="48">
        <f t="shared" si="5"/>
        <v>762.8000000000001</v>
      </c>
    </row>
    <row r="56" spans="1:9" ht="18.75" thickBot="1">
      <c r="A56" s="26" t="s">
        <v>34</v>
      </c>
      <c r="B56" s="47">
        <f>B51-B52-B55-B54-B53</f>
        <v>1154.9</v>
      </c>
      <c r="C56" s="47">
        <f>C51-C52-C55-C54-C53</f>
        <v>4514.9</v>
      </c>
      <c r="D56" s="47">
        <f>D51-D52-D55-D54-D53</f>
        <v>503.5000000000005</v>
      </c>
      <c r="E56" s="1">
        <f>D56/D51*100</f>
        <v>20.5745341614907</v>
      </c>
      <c r="F56" s="1">
        <f t="shared" si="6"/>
        <v>43.596848211966446</v>
      </c>
      <c r="G56" s="1">
        <f t="shared" si="4"/>
        <v>11.151963498637855</v>
      </c>
      <c r="H56" s="48">
        <f t="shared" si="7"/>
        <v>651.3999999999996</v>
      </c>
      <c r="I56" s="48">
        <f>C56-D56</f>
        <v>4011.399999999999</v>
      </c>
    </row>
    <row r="57" spans="1:9" s="41" customFormat="1" ht="19.5" hidden="1" thickBot="1">
      <c r="A57" s="104" t="s">
        <v>84</v>
      </c>
      <c r="B57" s="102"/>
      <c r="C57" s="102"/>
      <c r="D57" s="102"/>
      <c r="E57" s="1"/>
      <c r="F57" s="103" t="e">
        <f t="shared" si="6"/>
        <v>#DIV/0!</v>
      </c>
      <c r="G57" s="103" t="e">
        <f t="shared" si="4"/>
        <v>#DIV/0!</v>
      </c>
      <c r="H57" s="113">
        <f t="shared" si="7"/>
        <v>0</v>
      </c>
      <c r="I57" s="113">
        <f>C57-D57</f>
        <v>0</v>
      </c>
    </row>
    <row r="58" spans="1:9" ht="18.75" thickBot="1">
      <c r="A58" s="25" t="s">
        <v>6</v>
      </c>
      <c r="B58" s="49">
        <v>597.5</v>
      </c>
      <c r="C58" s="50">
        <v>5881.8</v>
      </c>
      <c r="D58" s="51">
        <f>43.5+4.7+72.8+47.2+46+5+62.5+3.8+40.9+35.3+2.1</f>
        <v>363.8</v>
      </c>
      <c r="E58" s="3">
        <f>D58/D149*100</f>
        <v>0.17661205836062452</v>
      </c>
      <c r="F58" s="3">
        <f>D58/B58*100</f>
        <v>60.887029288702934</v>
      </c>
      <c r="G58" s="3">
        <f t="shared" si="4"/>
        <v>6.185181407052263</v>
      </c>
      <c r="H58" s="51">
        <f>B58-D58</f>
        <v>233.7</v>
      </c>
      <c r="I58" s="51">
        <f t="shared" si="5"/>
        <v>5518</v>
      </c>
    </row>
    <row r="59" spans="1:9" ht="18">
      <c r="A59" s="26" t="s">
        <v>3</v>
      </c>
      <c r="B59" s="46">
        <v>350.2</v>
      </c>
      <c r="C59" s="47">
        <v>1508.2</v>
      </c>
      <c r="D59" s="48">
        <f>43.5+72.8+47.2+62.5+0.1+35.3</f>
        <v>261.4</v>
      </c>
      <c r="E59" s="1">
        <f>D59/D58*100</f>
        <v>71.85266630016491</v>
      </c>
      <c r="F59" s="1">
        <f t="shared" si="6"/>
        <v>74.64306110793831</v>
      </c>
      <c r="G59" s="1">
        <f t="shared" si="4"/>
        <v>17.331918843654687</v>
      </c>
      <c r="H59" s="48">
        <f t="shared" si="7"/>
        <v>88.80000000000001</v>
      </c>
      <c r="I59" s="48">
        <f t="shared" si="5"/>
        <v>1246.8000000000002</v>
      </c>
    </row>
    <row r="60" spans="1:9" ht="18">
      <c r="A60" s="26" t="s">
        <v>1</v>
      </c>
      <c r="B60" s="46">
        <v>0</v>
      </c>
      <c r="C60" s="47">
        <v>331.8</v>
      </c>
      <c r="D60" s="48"/>
      <c r="E60" s="1">
        <f>D60/D58*100</f>
        <v>0</v>
      </c>
      <c r="F60" s="111" t="e">
        <f>D60/B60*100</f>
        <v>#DIV/0!</v>
      </c>
      <c r="G60" s="1">
        <f t="shared" si="4"/>
        <v>0</v>
      </c>
      <c r="H60" s="48">
        <f t="shared" si="7"/>
        <v>0</v>
      </c>
      <c r="I60" s="48">
        <f t="shared" si="5"/>
        <v>331.8</v>
      </c>
    </row>
    <row r="61" spans="1:9" ht="18">
      <c r="A61" s="26" t="s">
        <v>0</v>
      </c>
      <c r="B61" s="46">
        <v>217.4</v>
      </c>
      <c r="C61" s="47">
        <v>627.5</v>
      </c>
      <c r="D61" s="48">
        <f>4.7+45.7+4.9+40.9</f>
        <v>96.2</v>
      </c>
      <c r="E61" s="1">
        <f>D61/D58*100</f>
        <v>26.44310060472787</v>
      </c>
      <c r="F61" s="1">
        <f t="shared" si="6"/>
        <v>44.250229990800364</v>
      </c>
      <c r="G61" s="1">
        <f t="shared" si="4"/>
        <v>15.330677290836652</v>
      </c>
      <c r="H61" s="48">
        <f t="shared" si="7"/>
        <v>121.2</v>
      </c>
      <c r="I61" s="48">
        <f t="shared" si="5"/>
        <v>531.3</v>
      </c>
    </row>
    <row r="62" spans="1:9" ht="18">
      <c r="A62" s="26" t="s">
        <v>15</v>
      </c>
      <c r="B62" s="46">
        <v>0</v>
      </c>
      <c r="C62" s="47">
        <v>3216.2</v>
      </c>
      <c r="D62" s="48"/>
      <c r="E62" s="1">
        <f>D62/D58*100</f>
        <v>0</v>
      </c>
      <c r="F62" s="111" t="e">
        <f>D62/B62*100</f>
        <v>#DIV/0!</v>
      </c>
      <c r="G62" s="1">
        <f t="shared" si="4"/>
        <v>0</v>
      </c>
      <c r="H62" s="48">
        <f t="shared" si="7"/>
        <v>0</v>
      </c>
      <c r="I62" s="48">
        <f t="shared" si="5"/>
        <v>3216.2</v>
      </c>
    </row>
    <row r="63" spans="1:9" ht="18.75" thickBot="1">
      <c r="A63" s="26" t="s">
        <v>34</v>
      </c>
      <c r="B63" s="47">
        <f>B58-B59-B61-B62-B60</f>
        <v>29.900000000000006</v>
      </c>
      <c r="C63" s="47">
        <f>C58-C59-C61-C62-C60</f>
        <v>198.10000000000053</v>
      </c>
      <c r="D63" s="47">
        <f>D58-D59-D61-D62-D60</f>
        <v>6.200000000000031</v>
      </c>
      <c r="E63" s="1">
        <f>D63/D58*100</f>
        <v>1.7042330951072104</v>
      </c>
      <c r="F63" s="1">
        <f t="shared" si="6"/>
        <v>20.73578595317736</v>
      </c>
      <c r="G63" s="1">
        <f t="shared" si="4"/>
        <v>3.1297324583543737</v>
      </c>
      <c r="H63" s="48">
        <f t="shared" si="7"/>
        <v>23.699999999999974</v>
      </c>
      <c r="I63" s="48">
        <f t="shared" si="5"/>
        <v>191.9000000000005</v>
      </c>
    </row>
    <row r="64" spans="1:9" s="41" customFormat="1" ht="19.5" hidden="1" thickBot="1">
      <c r="A64" s="104" t="s">
        <v>95</v>
      </c>
      <c r="B64" s="102"/>
      <c r="C64" s="102"/>
      <c r="D64" s="102"/>
      <c r="E64" s="103"/>
      <c r="F64" s="103" t="e">
        <f>D64/B64*100</f>
        <v>#DIV/0!</v>
      </c>
      <c r="G64" s="103" t="e">
        <f>D64/C64*100</f>
        <v>#DIV/0!</v>
      </c>
      <c r="H64" s="113">
        <f t="shared" si="7"/>
        <v>0</v>
      </c>
      <c r="I64" s="113">
        <f t="shared" si="5"/>
        <v>0</v>
      </c>
    </row>
    <row r="65" spans="1:9" s="41" customFormat="1" ht="19.5" hidden="1" thickBot="1">
      <c r="A65" s="104" t="s">
        <v>81</v>
      </c>
      <c r="B65" s="102"/>
      <c r="C65" s="102"/>
      <c r="D65" s="102"/>
      <c r="E65" s="103"/>
      <c r="F65" s="103" t="e">
        <f t="shared" si="6"/>
        <v>#DIV/0!</v>
      </c>
      <c r="G65" s="103" t="e">
        <f t="shared" si="4"/>
        <v>#DIV/0!</v>
      </c>
      <c r="H65" s="113">
        <f t="shared" si="7"/>
        <v>0</v>
      </c>
      <c r="I65" s="113">
        <f t="shared" si="5"/>
        <v>0</v>
      </c>
    </row>
    <row r="66" spans="1:9" s="41" customFormat="1" ht="19.5" hidden="1" thickBot="1">
      <c r="A66" s="104" t="s">
        <v>82</v>
      </c>
      <c r="B66" s="102"/>
      <c r="C66" s="102"/>
      <c r="D66" s="102"/>
      <c r="E66" s="103"/>
      <c r="F66" s="103" t="e">
        <f t="shared" si="6"/>
        <v>#DIV/0!</v>
      </c>
      <c r="G66" s="103" t="e">
        <f t="shared" si="4"/>
        <v>#DIV/0!</v>
      </c>
      <c r="H66" s="113">
        <f t="shared" si="7"/>
        <v>0</v>
      </c>
      <c r="I66" s="113">
        <f t="shared" si="5"/>
        <v>0</v>
      </c>
    </row>
    <row r="67" spans="1:9" s="41" customFormat="1" ht="19.5" hidden="1" thickBot="1">
      <c r="A67" s="104" t="s">
        <v>83</v>
      </c>
      <c r="B67" s="102"/>
      <c r="C67" s="102"/>
      <c r="D67" s="102"/>
      <c r="E67" s="103"/>
      <c r="F67" s="103" t="e">
        <f t="shared" si="6"/>
        <v>#DIV/0!</v>
      </c>
      <c r="G67" s="103" t="e">
        <f t="shared" si="4"/>
        <v>#DIV/0!</v>
      </c>
      <c r="H67" s="113">
        <f t="shared" si="7"/>
        <v>0</v>
      </c>
      <c r="I67" s="113">
        <f t="shared" si="5"/>
        <v>0</v>
      </c>
    </row>
    <row r="68" spans="1:9" ht="18.75" thickBot="1">
      <c r="A68" s="25" t="s">
        <v>24</v>
      </c>
      <c r="B68" s="50">
        <f>B69+B70</f>
        <v>134</v>
      </c>
      <c r="C68" s="50">
        <f>C69+C70</f>
        <v>424.4</v>
      </c>
      <c r="D68" s="51">
        <f>SUM(D69:D70)</f>
        <v>16.700000000000003</v>
      </c>
      <c r="E68" s="39">
        <f>D68/D149*100</f>
        <v>0.008107260512980842</v>
      </c>
      <c r="F68" s="3">
        <f>D68/B68*100</f>
        <v>12.462686567164182</v>
      </c>
      <c r="G68" s="3">
        <f t="shared" si="4"/>
        <v>3.934967012252593</v>
      </c>
      <c r="H68" s="51">
        <f>B68-D68</f>
        <v>117.3</v>
      </c>
      <c r="I68" s="51">
        <f t="shared" si="5"/>
        <v>407.7</v>
      </c>
    </row>
    <row r="69" spans="1:9" ht="18">
      <c r="A69" s="26" t="s">
        <v>8</v>
      </c>
      <c r="B69" s="46">
        <v>71.6</v>
      </c>
      <c r="C69" s="47">
        <v>171</v>
      </c>
      <c r="D69" s="48">
        <f>3.9+1+3+8.8</f>
        <v>16.700000000000003</v>
      </c>
      <c r="E69" s="1">
        <f>D69/D68*100</f>
        <v>100</v>
      </c>
      <c r="F69" s="1">
        <f t="shared" si="6"/>
        <v>23.324022346368718</v>
      </c>
      <c r="G69" s="1">
        <f t="shared" si="4"/>
        <v>9.766081871345031</v>
      </c>
      <c r="H69" s="48">
        <f t="shared" si="7"/>
        <v>54.89999999999999</v>
      </c>
      <c r="I69" s="48">
        <f t="shared" si="5"/>
        <v>154.3</v>
      </c>
    </row>
    <row r="70" spans="1:9" ht="18.75" thickBot="1">
      <c r="A70" s="26" t="s">
        <v>9</v>
      </c>
      <c r="B70" s="46">
        <v>62.4</v>
      </c>
      <c r="C70" s="47">
        <v>253.4</v>
      </c>
      <c r="D70" s="48"/>
      <c r="E70" s="1">
        <f>D70/D69*100</f>
        <v>0</v>
      </c>
      <c r="F70" s="1">
        <f t="shared" si="6"/>
        <v>0</v>
      </c>
      <c r="G70" s="1">
        <f t="shared" si="4"/>
        <v>0</v>
      </c>
      <c r="H70" s="48">
        <f t="shared" si="7"/>
        <v>62.4</v>
      </c>
      <c r="I70" s="48">
        <f t="shared" si="5"/>
        <v>253.4</v>
      </c>
    </row>
    <row r="71" spans="1:9" ht="38.25" hidden="1" thickBot="1">
      <c r="A71" s="13" t="s">
        <v>50</v>
      </c>
      <c r="B71" s="58"/>
      <c r="C71" s="50">
        <f>C72+C73+C74+C75</f>
        <v>0</v>
      </c>
      <c r="D71" s="50">
        <f>D72+D73+D74+D75</f>
        <v>0</v>
      </c>
      <c r="E71" s="3">
        <f>D71/D149*100</f>
        <v>0</v>
      </c>
      <c r="F71" s="3" t="e">
        <f>D71/B71*100</f>
        <v>#DIV/0!</v>
      </c>
      <c r="G71" s="3" t="e">
        <f t="shared" si="4"/>
        <v>#DIV/0!</v>
      </c>
      <c r="H71" s="51">
        <f>B71-D71</f>
        <v>0</v>
      </c>
      <c r="I71" s="51">
        <f t="shared" si="5"/>
        <v>0</v>
      </c>
    </row>
    <row r="72" spans="1:9" ht="18.75" hidden="1">
      <c r="A72" s="20" t="s">
        <v>56</v>
      </c>
      <c r="B72" s="55"/>
      <c r="C72" s="62"/>
      <c r="D72" s="53"/>
      <c r="E72" s="34" t="e">
        <f>D72/D71*100</f>
        <v>#DIV/0!</v>
      </c>
      <c r="F72" s="1" t="e">
        <f t="shared" si="6"/>
        <v>#DIV/0!</v>
      </c>
      <c r="G72" s="1" t="e">
        <f t="shared" si="4"/>
        <v>#DIV/0!</v>
      </c>
      <c r="H72" s="48">
        <f t="shared" si="7"/>
        <v>0</v>
      </c>
      <c r="I72" s="48">
        <f t="shared" si="5"/>
        <v>0</v>
      </c>
    </row>
    <row r="73" spans="1:9" ht="18.75" hidden="1">
      <c r="A73" s="20" t="s">
        <v>57</v>
      </c>
      <c r="B73" s="55"/>
      <c r="C73" s="62"/>
      <c r="D73" s="53"/>
      <c r="E73" s="34" t="e">
        <f>D73/D71*100</f>
        <v>#DIV/0!</v>
      </c>
      <c r="F73" s="1" t="e">
        <f t="shared" si="6"/>
        <v>#DIV/0!</v>
      </c>
      <c r="G73" s="1" t="e">
        <f t="shared" si="4"/>
        <v>#DIV/0!</v>
      </c>
      <c r="H73" s="48">
        <f t="shared" si="7"/>
        <v>0</v>
      </c>
      <c r="I73" s="48">
        <f t="shared" si="5"/>
        <v>0</v>
      </c>
    </row>
    <row r="74" spans="1:9" ht="18.75" hidden="1">
      <c r="A74" s="27" t="s">
        <v>41</v>
      </c>
      <c r="B74" s="63"/>
      <c r="C74" s="64"/>
      <c r="D74" s="65"/>
      <c r="E74" s="34" t="e">
        <f>D74/D71*100</f>
        <v>#DIV/0!</v>
      </c>
      <c r="F74" s="34"/>
      <c r="G74" s="1" t="e">
        <f t="shared" si="4"/>
        <v>#DIV/0!</v>
      </c>
      <c r="H74" s="48"/>
      <c r="I74" s="48">
        <f t="shared" si="5"/>
        <v>0</v>
      </c>
    </row>
    <row r="75" spans="1:9" ht="19.5" hidden="1" thickBot="1">
      <c r="A75" s="27" t="s">
        <v>51</v>
      </c>
      <c r="B75" s="63"/>
      <c r="C75" s="64"/>
      <c r="D75" s="65"/>
      <c r="E75" s="34" t="e">
        <f>D75/D71*100</f>
        <v>#DIV/0!</v>
      </c>
      <c r="F75" s="34"/>
      <c r="G75" s="1" t="e">
        <f t="shared" si="4"/>
        <v>#DIV/0!</v>
      </c>
      <c r="H75" s="48"/>
      <c r="I75" s="48">
        <f t="shared" si="5"/>
        <v>0</v>
      </c>
    </row>
    <row r="76" spans="1:9" s="41" customFormat="1" ht="19.5" thickBot="1">
      <c r="A76" s="28" t="s">
        <v>14</v>
      </c>
      <c r="B76" s="59">
        <v>2500</v>
      </c>
      <c r="C76" s="66">
        <v>10000</v>
      </c>
      <c r="D76" s="67"/>
      <c r="E76" s="45"/>
      <c r="F76" s="45"/>
      <c r="G76" s="45"/>
      <c r="H76" s="67">
        <f>B76-D76</f>
        <v>2500</v>
      </c>
      <c r="I76" s="67">
        <f t="shared" si="5"/>
        <v>10000</v>
      </c>
    </row>
    <row r="77" spans="1:9" ht="8.25" customHeight="1" thickBot="1">
      <c r="A77" s="20"/>
      <c r="B77" s="55"/>
      <c r="C77" s="64"/>
      <c r="D77" s="65"/>
      <c r="E77" s="6"/>
      <c r="F77" s="6"/>
      <c r="G77" s="6"/>
      <c r="H77" s="65"/>
      <c r="I77" s="129"/>
    </row>
    <row r="78" spans="1:9" ht="18.75" customHeight="1" hidden="1" thickBot="1">
      <c r="A78" s="13" t="s">
        <v>75</v>
      </c>
      <c r="B78" s="58"/>
      <c r="C78" s="50">
        <f>C79+C80</f>
        <v>0</v>
      </c>
      <c r="D78" s="50">
        <f>D79+D80</f>
        <v>0</v>
      </c>
      <c r="E78" s="3">
        <f>D78/D149*100</f>
        <v>0</v>
      </c>
      <c r="F78" s="3" t="e">
        <f>D78/B78*100</f>
        <v>#DIV/0!</v>
      </c>
      <c r="G78" s="3" t="e">
        <f aca="true" t="shared" si="8" ref="G78:G92">D78/C78*100</f>
        <v>#DIV/0!</v>
      </c>
      <c r="H78" s="51">
        <f>B78-D78</f>
        <v>0</v>
      </c>
      <c r="I78" s="51">
        <f aca="true" t="shared" si="9" ref="I78:I92">C78-D78</f>
        <v>0</v>
      </c>
    </row>
    <row r="79" spans="1:9" s="8" customFormat="1" ht="18.75" hidden="1" thickBot="1">
      <c r="A79" s="9" t="s">
        <v>74</v>
      </c>
      <c r="B79" s="68"/>
      <c r="C79" s="47">
        <f>50-50</f>
        <v>0</v>
      </c>
      <c r="D79" s="48"/>
      <c r="E79" s="101"/>
      <c r="F79" s="1" t="e">
        <f>D79/B79*100</f>
        <v>#DIV/0!</v>
      </c>
      <c r="G79" s="1" t="e">
        <f t="shared" si="8"/>
        <v>#DIV/0!</v>
      </c>
      <c r="H79" s="48">
        <f>B79-D79</f>
        <v>0</v>
      </c>
      <c r="I79" s="48">
        <f t="shared" si="9"/>
        <v>0</v>
      </c>
    </row>
    <row r="80" spans="1:9" s="8" customFormat="1" ht="31.5" hidden="1" thickBot="1">
      <c r="A80" s="9" t="s">
        <v>68</v>
      </c>
      <c r="B80" s="68"/>
      <c r="C80" s="47"/>
      <c r="D80" s="48"/>
      <c r="E80" s="101"/>
      <c r="F80" s="1" t="e">
        <f>D80/B80*100</f>
        <v>#DIV/0!</v>
      </c>
      <c r="G80" s="1" t="e">
        <f t="shared" si="8"/>
        <v>#DIV/0!</v>
      </c>
      <c r="H80" s="48">
        <f>B80-D80</f>
        <v>0</v>
      </c>
      <c r="I80" s="48">
        <f t="shared" si="9"/>
        <v>0</v>
      </c>
    </row>
    <row r="81" spans="1:9" s="8" customFormat="1" ht="16.5" customHeight="1" hidden="1">
      <c r="A81" s="9" t="s">
        <v>40</v>
      </c>
      <c r="B81" s="68"/>
      <c r="C81" s="47"/>
      <c r="D81" s="48"/>
      <c r="E81" s="1" t="e">
        <f>D81/D78*100</f>
        <v>#DIV/0!</v>
      </c>
      <c r="F81" s="1"/>
      <c r="G81" s="1" t="e">
        <f t="shared" si="8"/>
        <v>#DIV/0!</v>
      </c>
      <c r="H81" s="48"/>
      <c r="I81" s="48">
        <f t="shared" si="9"/>
        <v>0</v>
      </c>
    </row>
    <row r="82" spans="1:9" s="8" customFormat="1" ht="33" customHeight="1" hidden="1" thickBot="1">
      <c r="A82" s="9" t="s">
        <v>47</v>
      </c>
      <c r="B82" s="68"/>
      <c r="C82" s="47"/>
      <c r="D82" s="47"/>
      <c r="E82" s="1" t="e">
        <f>D82/D78*100</f>
        <v>#DIV/0!</v>
      </c>
      <c r="F82" s="1"/>
      <c r="G82" s="1" t="e">
        <f t="shared" si="8"/>
        <v>#DIV/0!</v>
      </c>
      <c r="H82" s="48"/>
      <c r="I82" s="48">
        <f t="shared" si="9"/>
        <v>0</v>
      </c>
    </row>
    <row r="83" spans="1:9" ht="35.25" customHeight="1" hidden="1" thickBot="1">
      <c r="A83" s="13" t="s">
        <v>42</v>
      </c>
      <c r="B83" s="58"/>
      <c r="C83" s="50">
        <f>C84+C85</f>
        <v>0</v>
      </c>
      <c r="D83" s="50">
        <f>D84+D85</f>
        <v>0</v>
      </c>
      <c r="E83" s="3">
        <f>D83/D149*100</f>
        <v>0</v>
      </c>
      <c r="F83" s="3"/>
      <c r="G83" s="3" t="e">
        <f t="shared" si="8"/>
        <v>#DIV/0!</v>
      </c>
      <c r="H83" s="51"/>
      <c r="I83" s="51">
        <f t="shared" si="9"/>
        <v>0</v>
      </c>
    </row>
    <row r="84" spans="1:9" ht="16.5" customHeight="1" hidden="1">
      <c r="A84" s="26" t="s">
        <v>29</v>
      </c>
      <c r="B84" s="46"/>
      <c r="C84" s="64"/>
      <c r="D84" s="64"/>
      <c r="E84" s="6" t="e">
        <f>D84/D83*100</f>
        <v>#DIV/0!</v>
      </c>
      <c r="F84" s="6"/>
      <c r="G84" s="6" t="e">
        <f t="shared" si="8"/>
        <v>#DIV/0!</v>
      </c>
      <c r="H84" s="65"/>
      <c r="I84" s="48">
        <f t="shared" si="9"/>
        <v>0</v>
      </c>
    </row>
    <row r="85" spans="1:9" ht="16.5" customHeight="1" hidden="1" thickBot="1">
      <c r="A85" s="26" t="s">
        <v>30</v>
      </c>
      <c r="B85" s="46"/>
      <c r="C85" s="64"/>
      <c r="D85" s="64"/>
      <c r="E85" s="6" t="e">
        <f>D85/D83*100</f>
        <v>#DIV/0!</v>
      </c>
      <c r="F85" s="6"/>
      <c r="G85" s="6" t="e">
        <f t="shared" si="8"/>
        <v>#DIV/0!</v>
      </c>
      <c r="H85" s="65"/>
      <c r="I85" s="48">
        <f t="shared" si="9"/>
        <v>0</v>
      </c>
    </row>
    <row r="86" spans="1:9" ht="34.5" customHeight="1" hidden="1" thickBot="1">
      <c r="A86" s="13" t="s">
        <v>43</v>
      </c>
      <c r="B86" s="58"/>
      <c r="C86" s="50">
        <f>SUM(C87:C88)</f>
        <v>0</v>
      </c>
      <c r="D86" s="50">
        <f>SUM(D87:D88)</f>
        <v>0</v>
      </c>
      <c r="E86" s="3">
        <f>D86/D149*100</f>
        <v>0</v>
      </c>
      <c r="F86" s="3"/>
      <c r="G86" s="3" t="e">
        <f t="shared" si="8"/>
        <v>#DIV/0!</v>
      </c>
      <c r="H86" s="51"/>
      <c r="I86" s="51">
        <f t="shared" si="9"/>
        <v>0</v>
      </c>
    </row>
    <row r="87" spans="1:9" ht="17.25" customHeight="1" hidden="1">
      <c r="A87" s="26" t="s">
        <v>29</v>
      </c>
      <c r="B87" s="46"/>
      <c r="C87" s="47"/>
      <c r="D87" s="48"/>
      <c r="E87" s="1" t="e">
        <f>D87/D86*100</f>
        <v>#DIV/0!</v>
      </c>
      <c r="F87" s="1"/>
      <c r="G87" s="1" t="e">
        <f t="shared" si="8"/>
        <v>#DIV/0!</v>
      </c>
      <c r="H87" s="48"/>
      <c r="I87" s="48">
        <f t="shared" si="9"/>
        <v>0</v>
      </c>
    </row>
    <row r="88" spans="1:9" ht="17.25" customHeight="1" hidden="1" thickBot="1">
      <c r="A88" s="26" t="s">
        <v>30</v>
      </c>
      <c r="B88" s="46"/>
      <c r="C88" s="47"/>
      <c r="D88" s="48"/>
      <c r="E88" s="1" t="e">
        <f>D88/D86*100</f>
        <v>#DIV/0!</v>
      </c>
      <c r="F88" s="1"/>
      <c r="G88" s="1" t="e">
        <f t="shared" si="8"/>
        <v>#DIV/0!</v>
      </c>
      <c r="H88" s="48"/>
      <c r="I88" s="48">
        <f t="shared" si="9"/>
        <v>0</v>
      </c>
    </row>
    <row r="89" spans="1:9" ht="19.5" thickBot="1">
      <c r="A89" s="13" t="s">
        <v>10</v>
      </c>
      <c r="B89" s="58">
        <v>13566.2</v>
      </c>
      <c r="C89" s="50">
        <v>50201.5</v>
      </c>
      <c r="D89" s="51">
        <f>504.1+603.6+0.4+13.4+0.4+2.2+9.9+1.1+305.4+663.4+712.7+3.4+59.2+17.1+69.2+0.3+0.1+65+384.8+526.3+246.2+20.6+24.1+37.5+50.9+14.3+10.2+5.2+1502.8+556.3+715.7+52.4-0.2+96.1+234.6+88.5+23.1+1.9+3.2+309.4+1005.9+308.4+76.4</f>
        <v>9325.5</v>
      </c>
      <c r="E89" s="3">
        <f>D89/D149*100</f>
        <v>4.527201072682804</v>
      </c>
      <c r="F89" s="3">
        <f aca="true" t="shared" si="10" ref="F89:F95">D89/B89*100</f>
        <v>68.74069378307853</v>
      </c>
      <c r="G89" s="3">
        <f t="shared" si="8"/>
        <v>18.576138163202295</v>
      </c>
      <c r="H89" s="51">
        <f aca="true" t="shared" si="11" ref="H89:H95">B89-D89</f>
        <v>4240.700000000001</v>
      </c>
      <c r="I89" s="51">
        <f t="shared" si="9"/>
        <v>40876</v>
      </c>
    </row>
    <row r="90" spans="1:9" ht="18">
      <c r="A90" s="26" t="s">
        <v>3</v>
      </c>
      <c r="B90" s="46">
        <f>11319.6-48.1</f>
        <v>11271.5</v>
      </c>
      <c r="C90" s="47">
        <v>41785.6</v>
      </c>
      <c r="D90" s="48">
        <f>504.1+600.9+12.5+0.1+294.4+657+710.4+56.2+67.4+61.4+375.5+513+243.5+0.3+0.2+0.2+1502.8+529.2+582+0.1+29+142.9+14.9+1.4+1.9+241.9+972.3+146.3</f>
        <v>8261.799999999997</v>
      </c>
      <c r="E90" s="1">
        <f>D90/D89*100</f>
        <v>88.59364109163045</v>
      </c>
      <c r="F90" s="1">
        <f t="shared" si="10"/>
        <v>73.29814132990283</v>
      </c>
      <c r="G90" s="1">
        <f t="shared" si="8"/>
        <v>19.771883136774385</v>
      </c>
      <c r="H90" s="48">
        <f t="shared" si="11"/>
        <v>3009.7000000000025</v>
      </c>
      <c r="I90" s="48">
        <f t="shared" si="9"/>
        <v>33523.8</v>
      </c>
    </row>
    <row r="91" spans="1:9" ht="18">
      <c r="A91" s="26" t="s">
        <v>32</v>
      </c>
      <c r="B91" s="46">
        <f>918.4-1.2</f>
        <v>917.1999999999999</v>
      </c>
      <c r="C91" s="47">
        <v>2476</v>
      </c>
      <c r="D91" s="48">
        <f>9.8+96.8+35.3+50.2+30+1.1+18.1+138.1+43.8</f>
        <v>423.2</v>
      </c>
      <c r="E91" s="1">
        <f>D91/D89*100</f>
        <v>4.538094472146265</v>
      </c>
      <c r="F91" s="1">
        <f t="shared" si="10"/>
        <v>46.140427387701706</v>
      </c>
      <c r="G91" s="1">
        <f t="shared" si="8"/>
        <v>17.092084006462034</v>
      </c>
      <c r="H91" s="48">
        <f t="shared" si="11"/>
        <v>493.99999999999994</v>
      </c>
      <c r="I91" s="48">
        <f t="shared" si="9"/>
        <v>2052.8</v>
      </c>
    </row>
    <row r="92" spans="1:9" ht="18" hidden="1">
      <c r="A92" s="26" t="s">
        <v>15</v>
      </c>
      <c r="B92" s="46"/>
      <c r="C92" s="47"/>
      <c r="D92" s="47"/>
      <c r="E92" s="12">
        <f>D92/D89*100</f>
        <v>0</v>
      </c>
      <c r="F92" s="1"/>
      <c r="G92" s="1" t="e">
        <f t="shared" si="8"/>
        <v>#DIV/0!</v>
      </c>
      <c r="H92" s="48">
        <f t="shared" si="11"/>
        <v>0</v>
      </c>
      <c r="I92" s="48">
        <f t="shared" si="9"/>
        <v>0</v>
      </c>
    </row>
    <row r="93" spans="1:9" ht="18.75" thickBot="1">
      <c r="A93" s="26" t="s">
        <v>34</v>
      </c>
      <c r="B93" s="47">
        <f>B89-B90-B91-B92</f>
        <v>1377.500000000001</v>
      </c>
      <c r="C93" s="47">
        <f>C89-C90-C91-C92</f>
        <v>5939.9000000000015</v>
      </c>
      <c r="D93" s="47">
        <f>D89-D90-D91-D92</f>
        <v>640.5000000000025</v>
      </c>
      <c r="E93" s="1">
        <f>D93/D89*100</f>
        <v>6.868264436223286</v>
      </c>
      <c r="F93" s="1">
        <f t="shared" si="10"/>
        <v>46.49727767695115</v>
      </c>
      <c r="G93" s="1">
        <f>D93/C93*100</f>
        <v>10.783009814980089</v>
      </c>
      <c r="H93" s="48">
        <f t="shared" si="11"/>
        <v>736.9999999999984</v>
      </c>
      <c r="I93" s="48">
        <f>C93-D93</f>
        <v>5299.399999999999</v>
      </c>
    </row>
    <row r="94" spans="1:9" ht="18.75">
      <c r="A94" s="116" t="s">
        <v>12</v>
      </c>
      <c r="B94" s="119">
        <v>20713.6</v>
      </c>
      <c r="C94" s="121">
        <v>63500.4</v>
      </c>
      <c r="D94" s="120">
        <f>3050.1+485.9+95+377.6+203.9+57.3+702.6+368.5+68.4+157.9+4015.3+212.6+788.4+894.3+61.1+517.2+111.3+0.1+1461.7+564.4+1326.7+460.8</f>
        <v>15981.1</v>
      </c>
      <c r="E94" s="115">
        <f>D94/D149*100</f>
        <v>7.758259939161563</v>
      </c>
      <c r="F94" s="118">
        <f t="shared" si="10"/>
        <v>77.15269195118184</v>
      </c>
      <c r="G94" s="114">
        <f>D94/C94*100</f>
        <v>25.16692808234279</v>
      </c>
      <c r="H94" s="120">
        <f t="shared" si="11"/>
        <v>4732.499999999998</v>
      </c>
      <c r="I94" s="130">
        <f>C94-D94</f>
        <v>47519.3</v>
      </c>
    </row>
    <row r="95" spans="1:9" ht="18.75" thickBot="1">
      <c r="A95" s="117" t="s">
        <v>103</v>
      </c>
      <c r="B95" s="122">
        <v>1323.4</v>
      </c>
      <c r="C95" s="123">
        <v>5343.5</v>
      </c>
      <c r="D95" s="124">
        <f>57.3+368.5+61.1+0.1+320</f>
        <v>807</v>
      </c>
      <c r="E95" s="125">
        <f>D95/D94*100</f>
        <v>5.049714975815181</v>
      </c>
      <c r="F95" s="126">
        <f t="shared" si="10"/>
        <v>60.97929575336255</v>
      </c>
      <c r="G95" s="127">
        <f>D95/C95*100</f>
        <v>15.102460933844858</v>
      </c>
      <c r="H95" s="131">
        <f t="shared" si="11"/>
        <v>516.4000000000001</v>
      </c>
      <c r="I95" s="132">
        <f>C95-D95</f>
        <v>4536.5</v>
      </c>
    </row>
    <row r="96" spans="1:9" ht="8.25" customHeight="1" thickBot="1">
      <c r="A96" s="20"/>
      <c r="B96" s="55"/>
      <c r="C96" s="64"/>
      <c r="D96" s="65"/>
      <c r="E96" s="6"/>
      <c r="F96" s="6"/>
      <c r="G96" s="6"/>
      <c r="H96" s="65"/>
      <c r="I96" s="65"/>
    </row>
    <row r="97" spans="1:9" ht="19.5" hidden="1" thickBot="1">
      <c r="A97" s="30" t="s">
        <v>45</v>
      </c>
      <c r="B97" s="72"/>
      <c r="C97" s="73"/>
      <c r="D97" s="74"/>
      <c r="E97" s="3">
        <f>D97/D149*100</f>
        <v>0</v>
      </c>
      <c r="F97" s="3"/>
      <c r="G97" s="3" t="e">
        <f>D97/C97*100</f>
        <v>#DIV/0!</v>
      </c>
      <c r="H97" s="51"/>
      <c r="I97" s="51">
        <f>C97-D97</f>
        <v>0</v>
      </c>
    </row>
    <row r="98" spans="1:9" ht="5.25" customHeight="1" hidden="1" thickBot="1">
      <c r="A98" s="29"/>
      <c r="B98" s="69"/>
      <c r="C98" s="70"/>
      <c r="D98" s="71"/>
      <c r="E98" s="14"/>
      <c r="F98" s="6"/>
      <c r="G98" s="6"/>
      <c r="H98" s="65"/>
      <c r="I98" s="129"/>
    </row>
    <row r="99" spans="1:9" s="15" customFormat="1" ht="36" customHeight="1" hidden="1" thickBot="1">
      <c r="A99" s="13" t="s">
        <v>65</v>
      </c>
      <c r="B99" s="58"/>
      <c r="C99" s="50"/>
      <c r="D99" s="51"/>
      <c r="E99" s="3">
        <f>D99/D149*100</f>
        <v>0</v>
      </c>
      <c r="F99" s="3" t="e">
        <f>D99/B99*100</f>
        <v>#DIV/0!</v>
      </c>
      <c r="G99" s="3" t="e">
        <f>D99/C99*100</f>
        <v>#DIV/0!</v>
      </c>
      <c r="H99" s="51">
        <f>B99-D99</f>
        <v>0</v>
      </c>
      <c r="I99" s="51">
        <f>C99-D99</f>
        <v>0</v>
      </c>
    </row>
    <row r="100" spans="1:9" ht="6.75" customHeight="1" hidden="1" thickBot="1">
      <c r="A100" s="108"/>
      <c r="B100" s="109"/>
      <c r="C100" s="70"/>
      <c r="D100" s="71"/>
      <c r="E100" s="14"/>
      <c r="F100" s="6"/>
      <c r="G100" s="6"/>
      <c r="H100" s="65"/>
      <c r="I100" s="129"/>
    </row>
    <row r="101" spans="1:9" s="41" customFormat="1" ht="19.5" thickBot="1">
      <c r="A101" s="13" t="s">
        <v>11</v>
      </c>
      <c r="B101" s="58">
        <v>2448.7</v>
      </c>
      <c r="C101" s="100">
        <v>10703.3</v>
      </c>
      <c r="D101" s="87">
        <f>40+388.7+47.5+2+10.9+26+40+10.7+4.9+126.7+451+1.9+19.2+1.6+31.5+41+134.3</f>
        <v>1377.9</v>
      </c>
      <c r="E101" s="22">
        <f>D101/D149*100</f>
        <v>0.6689218120261258</v>
      </c>
      <c r="F101" s="22">
        <f>D101/B101*100</f>
        <v>56.27067423530854</v>
      </c>
      <c r="G101" s="22">
        <f aca="true" t="shared" si="12" ref="G101:G147">D101/C101*100</f>
        <v>12.87359973092411</v>
      </c>
      <c r="H101" s="87">
        <f aca="true" t="shared" si="13" ref="H101:H106">B101-D101</f>
        <v>1070.7999999999997</v>
      </c>
      <c r="I101" s="87">
        <f aca="true" t="shared" si="14" ref="I101:I147">C101-D101</f>
        <v>9325.4</v>
      </c>
    </row>
    <row r="102" spans="1:9" ht="18">
      <c r="A102" s="26" t="s">
        <v>3</v>
      </c>
      <c r="B102" s="97">
        <v>0</v>
      </c>
      <c r="C102" s="95">
        <v>187.6</v>
      </c>
      <c r="D102" s="95"/>
      <c r="E102" s="91">
        <f>D102/D101*100</f>
        <v>0</v>
      </c>
      <c r="F102" s="111" t="e">
        <f>D102/B102*100</f>
        <v>#DIV/0!</v>
      </c>
      <c r="G102" s="91">
        <f>D102/C102*100</f>
        <v>0</v>
      </c>
      <c r="H102" s="95">
        <f t="shared" si="13"/>
        <v>0</v>
      </c>
      <c r="I102" s="95">
        <f t="shared" si="14"/>
        <v>187.6</v>
      </c>
    </row>
    <row r="103" spans="1:9" ht="18">
      <c r="A103" s="93" t="s">
        <v>62</v>
      </c>
      <c r="B103" s="78">
        <v>2140.8</v>
      </c>
      <c r="C103" s="48">
        <v>8863.3</v>
      </c>
      <c r="D103" s="48">
        <f>39.8+388.5+20.6+2+26+40+4.1+126.5+407.9+18+31.2+40.6+134.1</f>
        <v>1279.3</v>
      </c>
      <c r="E103" s="1">
        <f>D103/D101*100</f>
        <v>92.84418317729877</v>
      </c>
      <c r="F103" s="1">
        <f aca="true" t="shared" si="15" ref="F103:F147">D103/B103*100</f>
        <v>59.758034379671145</v>
      </c>
      <c r="G103" s="1">
        <f t="shared" si="12"/>
        <v>14.433675944625591</v>
      </c>
      <c r="H103" s="48">
        <f t="shared" si="13"/>
        <v>861.5000000000002</v>
      </c>
      <c r="I103" s="48">
        <f t="shared" si="14"/>
        <v>7583.999999999999</v>
      </c>
    </row>
    <row r="104" spans="1:9" ht="54.75" hidden="1" thickBot="1">
      <c r="A104" s="94" t="s">
        <v>99</v>
      </c>
      <c r="B104" s="96"/>
      <c r="C104" s="96"/>
      <c r="D104" s="96"/>
      <c r="E104" s="92">
        <f>D104/D101*100</f>
        <v>0</v>
      </c>
      <c r="F104" s="92" t="e">
        <f>D104/B104*100</f>
        <v>#DIV/0!</v>
      </c>
      <c r="G104" s="92" t="e">
        <f>D104/C104*100</f>
        <v>#DIV/0!</v>
      </c>
      <c r="H104" s="132">
        <f t="shared" si="13"/>
        <v>0</v>
      </c>
      <c r="I104" s="132">
        <f>C104-D104</f>
        <v>0</v>
      </c>
    </row>
    <row r="105" spans="1:9" ht="18.75" thickBot="1">
      <c r="A105" s="94" t="s">
        <v>34</v>
      </c>
      <c r="B105" s="96">
        <f>B101-B102-B103</f>
        <v>307.89999999999964</v>
      </c>
      <c r="C105" s="96">
        <f>C101-C102-C103</f>
        <v>1652.3999999999996</v>
      </c>
      <c r="D105" s="96">
        <f>D101-D102-D103</f>
        <v>98.60000000000014</v>
      </c>
      <c r="E105" s="92">
        <f>D105/D101*100</f>
        <v>7.155816822701222</v>
      </c>
      <c r="F105" s="92">
        <f t="shared" si="15"/>
        <v>32.02338421565452</v>
      </c>
      <c r="G105" s="92">
        <f t="shared" si="12"/>
        <v>5.967078189300421</v>
      </c>
      <c r="H105" s="132">
        <f>B105-D105</f>
        <v>209.2999999999995</v>
      </c>
      <c r="I105" s="132">
        <f t="shared" si="14"/>
        <v>1553.7999999999995</v>
      </c>
    </row>
    <row r="106" spans="1:9" s="2" customFormat="1" ht="26.25" customHeight="1" thickBot="1">
      <c r="A106" s="88" t="s">
        <v>35</v>
      </c>
      <c r="B106" s="89">
        <f>SUM(B107:B146)-B114-B118+B147-B138-B139-B108-B111-B121-B122-B136-B130-B128</f>
        <v>47878.20000000001</v>
      </c>
      <c r="C106" s="89">
        <f>SUM(C107:C146)-C114-C118+C147-C138-C139-C108-C111-C121-C122-C136-C130-C128</f>
        <v>364835.69999999995</v>
      </c>
      <c r="D106" s="89">
        <f>SUM(D107:D146)-D114-D118+D147-D138-D139-D108-D111-D121-D122-D136-D130-D128</f>
        <v>42054.600000000006</v>
      </c>
      <c r="E106" s="90">
        <f>D106/D149*100</f>
        <v>20.416023830491262</v>
      </c>
      <c r="F106" s="90">
        <f>D106/B106*100</f>
        <v>87.83663546248604</v>
      </c>
      <c r="G106" s="90">
        <f t="shared" si="12"/>
        <v>11.526996946844843</v>
      </c>
      <c r="H106" s="89">
        <f t="shared" si="13"/>
        <v>5823.600000000006</v>
      </c>
      <c r="I106" s="89">
        <f t="shared" si="14"/>
        <v>322781.1</v>
      </c>
    </row>
    <row r="107" spans="1:9" ht="37.5">
      <c r="A107" s="31" t="s">
        <v>66</v>
      </c>
      <c r="B107" s="75">
        <f>590.4+42</f>
        <v>632.4</v>
      </c>
      <c r="C107" s="71">
        <v>2166.2</v>
      </c>
      <c r="D107" s="76">
        <f>142.7+0.9+78.6+37.4</f>
        <v>259.59999999999997</v>
      </c>
      <c r="E107" s="6">
        <f>D107/D106*100</f>
        <v>0.6172927575104743</v>
      </c>
      <c r="F107" s="6">
        <f t="shared" si="15"/>
        <v>41.04996837444655</v>
      </c>
      <c r="G107" s="6">
        <f t="shared" si="12"/>
        <v>11.98411965654141</v>
      </c>
      <c r="H107" s="65">
        <f aca="true" t="shared" si="16" ref="H107:H147">B107-D107</f>
        <v>372.8</v>
      </c>
      <c r="I107" s="65">
        <f t="shared" si="14"/>
        <v>1906.6</v>
      </c>
    </row>
    <row r="108" spans="1:9" ht="18">
      <c r="A108" s="26" t="s">
        <v>32</v>
      </c>
      <c r="B108" s="78">
        <f>323.1+42</f>
        <v>365.1</v>
      </c>
      <c r="C108" s="48">
        <v>1213.5</v>
      </c>
      <c r="D108" s="79">
        <f>142.7+0.9+78.6+37.4</f>
        <v>259.59999999999997</v>
      </c>
      <c r="E108" s="1">
        <f>D108/D107*100</f>
        <v>100</v>
      </c>
      <c r="F108" s="1">
        <f t="shared" si="15"/>
        <v>71.10380717611612</v>
      </c>
      <c r="G108" s="1">
        <f t="shared" si="12"/>
        <v>21.392665842604035</v>
      </c>
      <c r="H108" s="48">
        <f t="shared" si="16"/>
        <v>105.50000000000006</v>
      </c>
      <c r="I108" s="48">
        <f t="shared" si="14"/>
        <v>953.9000000000001</v>
      </c>
    </row>
    <row r="109" spans="1:9" ht="34.5" customHeight="1">
      <c r="A109" s="16" t="s">
        <v>98</v>
      </c>
      <c r="B109" s="77">
        <v>93.9</v>
      </c>
      <c r="C109" s="65">
        <v>778.3</v>
      </c>
      <c r="D109" s="76">
        <f>26.5+20.2+7.7+37.4</f>
        <v>91.80000000000001</v>
      </c>
      <c r="E109" s="6">
        <f>D109/D106*100</f>
        <v>0.21828765462042202</v>
      </c>
      <c r="F109" s="6">
        <f>D109/B109*100</f>
        <v>97.76357827476039</v>
      </c>
      <c r="G109" s="6">
        <f t="shared" si="12"/>
        <v>11.79493768469742</v>
      </c>
      <c r="H109" s="65">
        <f t="shared" si="16"/>
        <v>2.0999999999999943</v>
      </c>
      <c r="I109" s="65">
        <f t="shared" si="14"/>
        <v>686.5</v>
      </c>
    </row>
    <row r="110" spans="1:9" s="41" customFormat="1" ht="34.5" customHeight="1" hidden="1">
      <c r="A110" s="16" t="s">
        <v>73</v>
      </c>
      <c r="B110" s="77"/>
      <c r="C110" s="57"/>
      <c r="D110" s="80"/>
      <c r="E110" s="6">
        <f>D110/D106*100</f>
        <v>0</v>
      </c>
      <c r="F110" s="6" t="e">
        <f t="shared" si="15"/>
        <v>#DIV/0!</v>
      </c>
      <c r="G110" s="6" t="e">
        <f t="shared" si="12"/>
        <v>#DIV/0!</v>
      </c>
      <c r="H110" s="65">
        <f t="shared" si="16"/>
        <v>0</v>
      </c>
      <c r="I110" s="65">
        <f t="shared" si="14"/>
        <v>0</v>
      </c>
    </row>
    <row r="111" spans="1:9" ht="18" hidden="1">
      <c r="A111" s="26" t="s">
        <v>32</v>
      </c>
      <c r="B111" s="78"/>
      <c r="C111" s="48"/>
      <c r="D111" s="79"/>
      <c r="E111" s="1"/>
      <c r="F111" s="1" t="e">
        <f t="shared" si="15"/>
        <v>#DIV/0!</v>
      </c>
      <c r="G111" s="1" t="e">
        <f t="shared" si="12"/>
        <v>#DIV/0!</v>
      </c>
      <c r="H111" s="48">
        <f t="shared" si="16"/>
        <v>0</v>
      </c>
      <c r="I111" s="48">
        <f t="shared" si="14"/>
        <v>0</v>
      </c>
    </row>
    <row r="112" spans="1:9" ht="18.75">
      <c r="A112" s="16" t="s">
        <v>118</v>
      </c>
      <c r="B112" s="77">
        <v>0</v>
      </c>
      <c r="C112" s="65">
        <v>50</v>
      </c>
      <c r="D112" s="76"/>
      <c r="E112" s="6">
        <f>D112/D106*100</f>
        <v>0</v>
      </c>
      <c r="F112" s="133" t="e">
        <f t="shared" si="15"/>
        <v>#DIV/0!</v>
      </c>
      <c r="G112" s="6">
        <f t="shared" si="12"/>
        <v>0</v>
      </c>
      <c r="H112" s="65">
        <f t="shared" si="16"/>
        <v>0</v>
      </c>
      <c r="I112" s="65">
        <f t="shared" si="14"/>
        <v>50</v>
      </c>
    </row>
    <row r="113" spans="1:9" ht="37.5">
      <c r="A113" s="16" t="s">
        <v>46</v>
      </c>
      <c r="B113" s="77">
        <v>465.6</v>
      </c>
      <c r="C113" s="65">
        <v>1795.8</v>
      </c>
      <c r="D113" s="76">
        <f>82.2+4.4+0.2+16.8+100.8+0.1+8.3</f>
        <v>212.8</v>
      </c>
      <c r="E113" s="6">
        <f>D113/D106*100</f>
        <v>0.5060088551549652</v>
      </c>
      <c r="F113" s="6">
        <f t="shared" si="15"/>
        <v>45.70446735395189</v>
      </c>
      <c r="G113" s="6">
        <f t="shared" si="12"/>
        <v>11.849871923376769</v>
      </c>
      <c r="H113" s="65">
        <f t="shared" si="16"/>
        <v>252.8</v>
      </c>
      <c r="I113" s="65">
        <f t="shared" si="14"/>
        <v>1583</v>
      </c>
    </row>
    <row r="114" spans="1:9" ht="18" hidden="1">
      <c r="A114" s="37" t="s">
        <v>53</v>
      </c>
      <c r="B114" s="78"/>
      <c r="C114" s="48"/>
      <c r="D114" s="79"/>
      <c r="E114" s="6"/>
      <c r="F114" s="6" t="e">
        <f t="shared" si="15"/>
        <v>#DIV/0!</v>
      </c>
      <c r="G114" s="1" t="e">
        <f t="shared" si="12"/>
        <v>#DIV/0!</v>
      </c>
      <c r="H114" s="48">
        <f t="shared" si="16"/>
        <v>0</v>
      </c>
      <c r="I114" s="48">
        <f t="shared" si="14"/>
        <v>0</v>
      </c>
    </row>
    <row r="115" spans="1:9" s="41" customFormat="1" ht="18.75" customHeight="1" hidden="1">
      <c r="A115" s="16" t="s">
        <v>59</v>
      </c>
      <c r="B115" s="77"/>
      <c r="C115" s="57"/>
      <c r="D115" s="80"/>
      <c r="E115" s="17">
        <f>D115/D106*100</f>
        <v>0</v>
      </c>
      <c r="F115" s="6" t="e">
        <f t="shared" si="15"/>
        <v>#DIV/0!</v>
      </c>
      <c r="G115" s="17" t="e">
        <f t="shared" si="12"/>
        <v>#DIV/0!</v>
      </c>
      <c r="H115" s="57">
        <f t="shared" si="16"/>
        <v>0</v>
      </c>
      <c r="I115" s="57">
        <f t="shared" si="14"/>
        <v>0</v>
      </c>
    </row>
    <row r="116" spans="1:9" ht="37.5" hidden="1">
      <c r="A116" s="16" t="s">
        <v>58</v>
      </c>
      <c r="B116" s="77"/>
      <c r="C116" s="65"/>
      <c r="D116" s="76"/>
      <c r="E116" s="6">
        <f>D116/D106*100</f>
        <v>0</v>
      </c>
      <c r="F116" s="6" t="e">
        <f>D116/B116*100</f>
        <v>#DIV/0!</v>
      </c>
      <c r="G116" s="6" t="e">
        <f t="shared" si="12"/>
        <v>#DIV/0!</v>
      </c>
      <c r="H116" s="65">
        <f t="shared" si="16"/>
        <v>0</v>
      </c>
      <c r="I116" s="65">
        <f t="shared" si="14"/>
        <v>0</v>
      </c>
    </row>
    <row r="117" spans="1:9" s="2" customFormat="1" ht="18.75">
      <c r="A117" s="16" t="s">
        <v>16</v>
      </c>
      <c r="B117" s="77">
        <v>62.7</v>
      </c>
      <c r="C117" s="57">
        <v>229.6</v>
      </c>
      <c r="D117" s="76">
        <f>17.1-0.3+0.8+0.3+21.4+4.2+0.3</f>
        <v>43.8</v>
      </c>
      <c r="E117" s="6">
        <f>D117/D106*100</f>
        <v>0.10415031887118173</v>
      </c>
      <c r="F117" s="6">
        <f t="shared" si="15"/>
        <v>69.85645933014352</v>
      </c>
      <c r="G117" s="6">
        <f t="shared" si="12"/>
        <v>19.076655052264808</v>
      </c>
      <c r="H117" s="65">
        <f t="shared" si="16"/>
        <v>18.900000000000006</v>
      </c>
      <c r="I117" s="65">
        <f t="shared" si="14"/>
        <v>185.8</v>
      </c>
    </row>
    <row r="118" spans="1:9" s="36" customFormat="1" ht="18">
      <c r="A118" s="37" t="s">
        <v>53</v>
      </c>
      <c r="B118" s="78">
        <v>50.4</v>
      </c>
      <c r="C118" s="48">
        <v>170.2</v>
      </c>
      <c r="D118" s="79">
        <f>17.1-0.3+16.8</f>
        <v>33.6</v>
      </c>
      <c r="E118" s="1">
        <f>D118/D117*100</f>
        <v>76.7123287671233</v>
      </c>
      <c r="F118" s="1">
        <f t="shared" si="15"/>
        <v>66.66666666666667</v>
      </c>
      <c r="G118" s="1">
        <f t="shared" si="12"/>
        <v>19.74148061104583</v>
      </c>
      <c r="H118" s="48">
        <f t="shared" si="16"/>
        <v>16.799999999999997</v>
      </c>
      <c r="I118" s="48">
        <f t="shared" si="14"/>
        <v>136.6</v>
      </c>
    </row>
    <row r="119" spans="1:9" s="2" customFormat="1" ht="18.75" hidden="1">
      <c r="A119" s="16" t="s">
        <v>25</v>
      </c>
      <c r="B119" s="77"/>
      <c r="C119" s="57"/>
      <c r="D119" s="76"/>
      <c r="E119" s="6">
        <f>D119/D106*100</f>
        <v>0</v>
      </c>
      <c r="F119" s="6" t="e">
        <f t="shared" si="15"/>
        <v>#DIV/0!</v>
      </c>
      <c r="G119" s="6" t="e">
        <f t="shared" si="12"/>
        <v>#DIV/0!</v>
      </c>
      <c r="H119" s="65">
        <f t="shared" si="16"/>
        <v>0</v>
      </c>
      <c r="I119" s="65">
        <f t="shared" si="14"/>
        <v>0</v>
      </c>
    </row>
    <row r="120" spans="1:9" s="2" customFormat="1" ht="21.75" customHeight="1">
      <c r="A120" s="16" t="s">
        <v>44</v>
      </c>
      <c r="B120" s="77">
        <v>91.8</v>
      </c>
      <c r="C120" s="57">
        <v>204.9</v>
      </c>
      <c r="D120" s="80"/>
      <c r="E120" s="17">
        <f>D120/D106*100</f>
        <v>0</v>
      </c>
      <c r="F120" s="6">
        <f t="shared" si="15"/>
        <v>0</v>
      </c>
      <c r="G120" s="6">
        <f t="shared" si="12"/>
        <v>0</v>
      </c>
      <c r="H120" s="65">
        <f t="shared" si="16"/>
        <v>91.8</v>
      </c>
      <c r="I120" s="65">
        <f t="shared" si="14"/>
        <v>204.9</v>
      </c>
    </row>
    <row r="121" spans="1:9" s="110" customFormat="1" ht="18" hidden="1">
      <c r="A121" s="26" t="s">
        <v>100</v>
      </c>
      <c r="B121" s="78"/>
      <c r="C121" s="48"/>
      <c r="D121" s="79"/>
      <c r="E121" s="6"/>
      <c r="F121" s="1" t="e">
        <f>D121/B121*100</f>
        <v>#DIV/0!</v>
      </c>
      <c r="G121" s="1" t="e">
        <f t="shared" si="12"/>
        <v>#DIV/0!</v>
      </c>
      <c r="H121" s="48">
        <f t="shared" si="16"/>
        <v>0</v>
      </c>
      <c r="I121" s="48">
        <f t="shared" si="14"/>
        <v>0</v>
      </c>
    </row>
    <row r="122" spans="1:9" s="110" customFormat="1" ht="18" hidden="1">
      <c r="A122" s="26" t="s">
        <v>63</v>
      </c>
      <c r="B122" s="78"/>
      <c r="C122" s="48"/>
      <c r="D122" s="79"/>
      <c r="E122" s="6"/>
      <c r="F122" s="1" t="e">
        <f>D122/B122*100</f>
        <v>#DIV/0!</v>
      </c>
      <c r="G122" s="1" t="e">
        <f t="shared" si="12"/>
        <v>#DIV/0!</v>
      </c>
      <c r="H122" s="48">
        <f t="shared" si="16"/>
        <v>0</v>
      </c>
      <c r="I122" s="48">
        <f t="shared" si="14"/>
        <v>0</v>
      </c>
    </row>
    <row r="123" spans="1:9" s="2" customFormat="1" ht="37.5">
      <c r="A123" s="16" t="s">
        <v>48</v>
      </c>
      <c r="B123" s="77">
        <v>5030.5</v>
      </c>
      <c r="C123" s="57">
        <v>5096.9</v>
      </c>
      <c r="D123" s="80">
        <f>3776+7.6+1124</f>
        <v>4907.6</v>
      </c>
      <c r="E123" s="17">
        <f>D123/D106*100</f>
        <v>11.66959143589524</v>
      </c>
      <c r="F123" s="6">
        <f t="shared" si="15"/>
        <v>97.55690289235663</v>
      </c>
      <c r="G123" s="6">
        <f t="shared" si="12"/>
        <v>96.2859777511821</v>
      </c>
      <c r="H123" s="65">
        <f t="shared" si="16"/>
        <v>122.89999999999964</v>
      </c>
      <c r="I123" s="65">
        <f t="shared" si="14"/>
        <v>189.29999999999927</v>
      </c>
    </row>
    <row r="124" spans="1:9" s="2" customFormat="1" ht="56.25" hidden="1">
      <c r="A124" s="16" t="s">
        <v>55</v>
      </c>
      <c r="B124" s="77"/>
      <c r="C124" s="57"/>
      <c r="D124" s="80"/>
      <c r="E124" s="17">
        <f>D124/D106*100</f>
        <v>0</v>
      </c>
      <c r="F124" s="6" t="e">
        <f t="shared" si="15"/>
        <v>#DIV/0!</v>
      </c>
      <c r="G124" s="6" t="e">
        <f t="shared" si="12"/>
        <v>#DIV/0!</v>
      </c>
      <c r="H124" s="65">
        <f t="shared" si="16"/>
        <v>0</v>
      </c>
      <c r="I124" s="65">
        <f t="shared" si="14"/>
        <v>0</v>
      </c>
    </row>
    <row r="125" spans="1:9" s="2" customFormat="1" ht="18.75" hidden="1">
      <c r="A125" s="16" t="s">
        <v>96</v>
      </c>
      <c r="B125" s="77"/>
      <c r="C125" s="57"/>
      <c r="D125" s="80"/>
      <c r="E125" s="17">
        <f>D125/D106*100</f>
        <v>0</v>
      </c>
      <c r="F125" s="6" t="e">
        <f t="shared" si="15"/>
        <v>#DIV/0!</v>
      </c>
      <c r="G125" s="6" t="e">
        <f t="shared" si="12"/>
        <v>#DIV/0!</v>
      </c>
      <c r="H125" s="65">
        <f t="shared" si="16"/>
        <v>0</v>
      </c>
      <c r="I125" s="65">
        <f t="shared" si="14"/>
        <v>0</v>
      </c>
    </row>
    <row r="126" spans="1:9" s="2" customFormat="1" ht="37.5">
      <c r="A126" s="16" t="s">
        <v>105</v>
      </c>
      <c r="B126" s="77">
        <v>95.1</v>
      </c>
      <c r="C126" s="57">
        <v>95.1</v>
      </c>
      <c r="D126" s="80"/>
      <c r="E126" s="17">
        <f>D126/D106*100</f>
        <v>0</v>
      </c>
      <c r="F126" s="6">
        <f t="shared" si="15"/>
        <v>0</v>
      </c>
      <c r="G126" s="6">
        <f t="shared" si="12"/>
        <v>0</v>
      </c>
      <c r="H126" s="65">
        <f t="shared" si="16"/>
        <v>95.1</v>
      </c>
      <c r="I126" s="65">
        <f t="shared" si="14"/>
        <v>95.1</v>
      </c>
    </row>
    <row r="127" spans="1:9" s="2" customFormat="1" ht="37.5">
      <c r="A127" s="16" t="s">
        <v>76</v>
      </c>
      <c r="B127" s="77">
        <v>184.1</v>
      </c>
      <c r="C127" s="57">
        <v>983</v>
      </c>
      <c r="D127" s="80">
        <f>2.8+14.4+2.8+8.8+3.7</f>
        <v>32.5</v>
      </c>
      <c r="E127" s="17">
        <f>D127/D106*100</f>
        <v>0.07728048774688143</v>
      </c>
      <c r="F127" s="6">
        <f t="shared" si="15"/>
        <v>17.653449212384576</v>
      </c>
      <c r="G127" s="6">
        <f t="shared" si="12"/>
        <v>3.306205493387589</v>
      </c>
      <c r="H127" s="65">
        <f t="shared" si="16"/>
        <v>151.6</v>
      </c>
      <c r="I127" s="65">
        <f t="shared" si="14"/>
        <v>950.5</v>
      </c>
    </row>
    <row r="128" spans="1:9" s="36" customFormat="1" ht="18">
      <c r="A128" s="26" t="s">
        <v>114</v>
      </c>
      <c r="B128" s="78">
        <v>157.2</v>
      </c>
      <c r="C128" s="48">
        <v>851.8</v>
      </c>
      <c r="D128" s="79">
        <f>2.8+2.8-0.1</f>
        <v>5.5</v>
      </c>
      <c r="E128" s="1">
        <f>D128/D127*100</f>
        <v>16.923076923076923</v>
      </c>
      <c r="F128" s="1">
        <f>D128/B128*100</f>
        <v>3.498727735368957</v>
      </c>
      <c r="G128" s="1">
        <f t="shared" si="12"/>
        <v>0.6456914768725054</v>
      </c>
      <c r="H128" s="48">
        <f t="shared" si="16"/>
        <v>151.7</v>
      </c>
      <c r="I128" s="48">
        <f t="shared" si="14"/>
        <v>846.3</v>
      </c>
    </row>
    <row r="129" spans="1:9" s="2" customFormat="1" ht="18.75" hidden="1">
      <c r="A129" s="16" t="s">
        <v>71</v>
      </c>
      <c r="B129" s="77"/>
      <c r="C129" s="57"/>
      <c r="D129" s="80"/>
      <c r="E129" s="17">
        <f>D129/D106*100</f>
        <v>0</v>
      </c>
      <c r="F129" s="6" t="e">
        <f t="shared" si="15"/>
        <v>#DIV/0!</v>
      </c>
      <c r="G129" s="6" t="e">
        <f t="shared" si="12"/>
        <v>#DIV/0!</v>
      </c>
      <c r="H129" s="65">
        <f t="shared" si="16"/>
        <v>0</v>
      </c>
      <c r="I129" s="65">
        <f t="shared" si="14"/>
        <v>0</v>
      </c>
    </row>
    <row r="130" spans="1:9" s="36" customFormat="1" ht="18" hidden="1">
      <c r="A130" s="37" t="s">
        <v>53</v>
      </c>
      <c r="B130" s="78"/>
      <c r="C130" s="48"/>
      <c r="D130" s="79"/>
      <c r="E130" s="1"/>
      <c r="F130" s="1" t="e">
        <f>D130/B130*100</f>
        <v>#DIV/0!</v>
      </c>
      <c r="G130" s="1" t="e">
        <f t="shared" si="12"/>
        <v>#DIV/0!</v>
      </c>
      <c r="H130" s="48">
        <f t="shared" si="16"/>
        <v>0</v>
      </c>
      <c r="I130" s="48">
        <f t="shared" si="14"/>
        <v>0</v>
      </c>
    </row>
    <row r="131" spans="1:9" s="2" customFormat="1" ht="35.25" customHeight="1">
      <c r="A131" s="16" t="s">
        <v>70</v>
      </c>
      <c r="B131" s="77">
        <v>22.8</v>
      </c>
      <c r="C131" s="57">
        <v>64.1</v>
      </c>
      <c r="D131" s="80">
        <f>0.8</f>
        <v>0.8</v>
      </c>
      <c r="E131" s="17">
        <f>D131/D106*100</f>
        <v>0.0019022889291540044</v>
      </c>
      <c r="F131" s="6">
        <f t="shared" si="15"/>
        <v>3.508771929824561</v>
      </c>
      <c r="G131" s="6">
        <f t="shared" si="12"/>
        <v>1.2480499219968801</v>
      </c>
      <c r="H131" s="65">
        <f t="shared" si="16"/>
        <v>22</v>
      </c>
      <c r="I131" s="65">
        <f t="shared" si="14"/>
        <v>63.3</v>
      </c>
    </row>
    <row r="132" spans="1:9" s="2" customFormat="1" ht="35.25" customHeight="1" hidden="1">
      <c r="A132" s="16" t="s">
        <v>72</v>
      </c>
      <c r="B132" s="77"/>
      <c r="C132" s="57"/>
      <c r="D132" s="80"/>
      <c r="E132" s="17">
        <f>D132/D106*100</f>
        <v>0</v>
      </c>
      <c r="F132" s="6" t="e">
        <f t="shared" si="15"/>
        <v>#DIV/0!</v>
      </c>
      <c r="G132" s="6" t="e">
        <f t="shared" si="12"/>
        <v>#DIV/0!</v>
      </c>
      <c r="H132" s="65">
        <f t="shared" si="16"/>
        <v>0</v>
      </c>
      <c r="I132" s="65">
        <f t="shared" si="14"/>
        <v>0</v>
      </c>
    </row>
    <row r="133" spans="1:9" s="2" customFormat="1" ht="35.25" customHeight="1">
      <c r="A133" s="16" t="s">
        <v>112</v>
      </c>
      <c r="B133" s="77">
        <v>114.2</v>
      </c>
      <c r="C133" s="57">
        <v>600</v>
      </c>
      <c r="D133" s="80">
        <f>0.8+5</f>
        <v>5.8</v>
      </c>
      <c r="E133" s="17">
        <f>D133/D106*100</f>
        <v>0.013791594736366531</v>
      </c>
      <c r="F133" s="6">
        <f t="shared" si="15"/>
        <v>5.078809106830122</v>
      </c>
      <c r="G133" s="6">
        <f t="shared" si="12"/>
        <v>0.9666666666666667</v>
      </c>
      <c r="H133" s="65">
        <f t="shared" si="16"/>
        <v>108.4</v>
      </c>
      <c r="I133" s="65">
        <f t="shared" si="14"/>
        <v>594.2</v>
      </c>
    </row>
    <row r="134" spans="1:9" s="2" customFormat="1" ht="35.25" customHeight="1" hidden="1">
      <c r="A134" s="16" t="s">
        <v>113</v>
      </c>
      <c r="B134" s="77"/>
      <c r="C134" s="57"/>
      <c r="D134" s="80"/>
      <c r="E134" s="17">
        <f>D134/D106*100</f>
        <v>0</v>
      </c>
      <c r="F134" s="6" t="e">
        <f t="shared" si="15"/>
        <v>#DIV/0!</v>
      </c>
      <c r="G134" s="6" t="e">
        <f t="shared" si="12"/>
        <v>#DIV/0!</v>
      </c>
      <c r="H134" s="65">
        <f t="shared" si="16"/>
        <v>0</v>
      </c>
      <c r="I134" s="65">
        <f t="shared" si="14"/>
        <v>0</v>
      </c>
    </row>
    <row r="135" spans="1:9" s="2" customFormat="1" ht="37.5">
      <c r="A135" s="16" t="s">
        <v>104</v>
      </c>
      <c r="B135" s="77">
        <v>128.3</v>
      </c>
      <c r="C135" s="57">
        <v>363.7</v>
      </c>
      <c r="D135" s="80">
        <f>5.2+0.3+2.7</f>
        <v>8.2</v>
      </c>
      <c r="E135" s="17">
        <f>D135/D106*100</f>
        <v>0.019498461523828545</v>
      </c>
      <c r="F135" s="6">
        <f t="shared" si="15"/>
        <v>6.391270459859704</v>
      </c>
      <c r="G135" s="6">
        <f>D135/C135*100</f>
        <v>2.2546054440472916</v>
      </c>
      <c r="H135" s="65">
        <f t="shared" si="16"/>
        <v>120.10000000000001</v>
      </c>
      <c r="I135" s="65">
        <f t="shared" si="14"/>
        <v>355.5</v>
      </c>
    </row>
    <row r="136" spans="1:9" s="36" customFormat="1" ht="18">
      <c r="A136" s="26" t="s">
        <v>32</v>
      </c>
      <c r="B136" s="78">
        <v>92.9</v>
      </c>
      <c r="C136" s="48">
        <v>218.8</v>
      </c>
      <c r="D136" s="79">
        <f>0.3</f>
        <v>0.3</v>
      </c>
      <c r="E136" s="111">
        <f>D136/D135*100</f>
        <v>3.6585365853658542</v>
      </c>
      <c r="F136" s="1">
        <f t="shared" si="15"/>
        <v>0.3229278794402583</v>
      </c>
      <c r="G136" s="1">
        <f>D136/C136*100</f>
        <v>0.13711151736745886</v>
      </c>
      <c r="H136" s="48">
        <f t="shared" si="16"/>
        <v>92.60000000000001</v>
      </c>
      <c r="I136" s="48">
        <f t="shared" si="14"/>
        <v>218.5</v>
      </c>
    </row>
    <row r="137" spans="1:9" s="2" customFormat="1" ht="18.75">
      <c r="A137" s="16" t="s">
        <v>31</v>
      </c>
      <c r="B137" s="77">
        <v>282</v>
      </c>
      <c r="C137" s="57">
        <v>1160.2</v>
      </c>
      <c r="D137" s="80">
        <f>26.5+42.3+30.1+3.6+8.6+42.3+0.1+5.7+31.9</f>
        <v>191.09999999999997</v>
      </c>
      <c r="E137" s="17">
        <f>D137/D106*100</f>
        <v>0.45440926795166264</v>
      </c>
      <c r="F137" s="6">
        <f t="shared" si="15"/>
        <v>67.7659574468085</v>
      </c>
      <c r="G137" s="6">
        <f t="shared" si="12"/>
        <v>16.471298052059986</v>
      </c>
      <c r="H137" s="65">
        <f t="shared" si="16"/>
        <v>90.90000000000003</v>
      </c>
      <c r="I137" s="65">
        <f t="shared" si="14"/>
        <v>969.1000000000001</v>
      </c>
    </row>
    <row r="138" spans="1:9" s="36" customFormat="1" ht="18">
      <c r="A138" s="37" t="s">
        <v>53</v>
      </c>
      <c r="B138" s="78">
        <v>211.2</v>
      </c>
      <c r="C138" s="48">
        <v>886.2</v>
      </c>
      <c r="D138" s="79">
        <f>26.5+39.8+30.1+42.1+0.1+31.9</f>
        <v>170.5</v>
      </c>
      <c r="E138" s="1">
        <f>D138/D137*100</f>
        <v>89.2203035060178</v>
      </c>
      <c r="F138" s="1">
        <f aca="true" t="shared" si="17" ref="F138:F146">D138/B138*100</f>
        <v>80.72916666666667</v>
      </c>
      <c r="G138" s="1">
        <f t="shared" si="12"/>
        <v>19.239449334236063</v>
      </c>
      <c r="H138" s="48">
        <f t="shared" si="16"/>
        <v>40.69999999999999</v>
      </c>
      <c r="I138" s="48">
        <f t="shared" si="14"/>
        <v>715.7</v>
      </c>
    </row>
    <row r="139" spans="1:9" s="36" customFormat="1" ht="18">
      <c r="A139" s="26" t="s">
        <v>32</v>
      </c>
      <c r="B139" s="78">
        <v>20.2</v>
      </c>
      <c r="C139" s="48">
        <v>39.3</v>
      </c>
      <c r="D139" s="79">
        <f>8.6+0.2+0.3</f>
        <v>9.1</v>
      </c>
      <c r="E139" s="1">
        <f>D139/D137*100</f>
        <v>4.761904761904763</v>
      </c>
      <c r="F139" s="1">
        <f t="shared" si="17"/>
        <v>45.04950495049505</v>
      </c>
      <c r="G139" s="1">
        <f>D139/C139*100</f>
        <v>23.15521628498728</v>
      </c>
      <c r="H139" s="48">
        <f t="shared" si="16"/>
        <v>11.1</v>
      </c>
      <c r="I139" s="48">
        <f t="shared" si="14"/>
        <v>30.199999999999996</v>
      </c>
    </row>
    <row r="140" spans="1:9" s="2" customFormat="1" ht="56.25" hidden="1">
      <c r="A140" s="20" t="s">
        <v>109</v>
      </c>
      <c r="B140" s="77"/>
      <c r="C140" s="57"/>
      <c r="D140" s="80"/>
      <c r="E140" s="17">
        <f>D140/D106*100</f>
        <v>0</v>
      </c>
      <c r="F140" s="107" t="e">
        <f t="shared" si="17"/>
        <v>#DIV/0!</v>
      </c>
      <c r="G140" s="6" t="e">
        <f t="shared" si="12"/>
        <v>#DIV/0!</v>
      </c>
      <c r="H140" s="65">
        <f t="shared" si="16"/>
        <v>0</v>
      </c>
      <c r="I140" s="65">
        <f t="shared" si="14"/>
        <v>0</v>
      </c>
    </row>
    <row r="141" spans="1:9" s="2" customFormat="1" ht="18.75" hidden="1">
      <c r="A141" s="20" t="s">
        <v>111</v>
      </c>
      <c r="B141" s="77"/>
      <c r="C141" s="57"/>
      <c r="D141" s="80"/>
      <c r="E141" s="17">
        <f>D141/D106*100</f>
        <v>0</v>
      </c>
      <c r="F141" s="107" t="e">
        <f>D141/B141*100</f>
        <v>#DIV/0!</v>
      </c>
      <c r="G141" s="6" t="e">
        <f t="shared" si="12"/>
        <v>#DIV/0!</v>
      </c>
      <c r="H141" s="65">
        <f t="shared" si="16"/>
        <v>0</v>
      </c>
      <c r="I141" s="65">
        <f t="shared" si="14"/>
        <v>0</v>
      </c>
    </row>
    <row r="142" spans="1:9" s="2" customFormat="1" ht="18.75">
      <c r="A142" s="20" t="s">
        <v>106</v>
      </c>
      <c r="B142" s="77">
        <v>3612.8</v>
      </c>
      <c r="C142" s="57">
        <v>16744</v>
      </c>
      <c r="D142" s="80">
        <f>112.8+55.6+128.7+0.1+105.3+21.7+331.5+41.9+106.9</f>
        <v>904.5</v>
      </c>
      <c r="E142" s="17">
        <f>D142/D106*100</f>
        <v>2.150775420524746</v>
      </c>
      <c r="F142" s="107">
        <f t="shared" si="17"/>
        <v>25.03598317094774</v>
      </c>
      <c r="G142" s="6">
        <f t="shared" si="12"/>
        <v>5.401935021500239</v>
      </c>
      <c r="H142" s="65">
        <f t="shared" si="16"/>
        <v>2708.3</v>
      </c>
      <c r="I142" s="65">
        <f t="shared" si="14"/>
        <v>15839.5</v>
      </c>
    </row>
    <row r="143" spans="1:9" s="2" customFormat="1" ht="18.75" hidden="1">
      <c r="A143" s="20" t="s">
        <v>107</v>
      </c>
      <c r="B143" s="77"/>
      <c r="C143" s="57"/>
      <c r="D143" s="80"/>
      <c r="E143" s="17">
        <f>D143/D106*100</f>
        <v>0</v>
      </c>
      <c r="F143" s="107" t="e">
        <f t="shared" si="17"/>
        <v>#DIV/0!</v>
      </c>
      <c r="G143" s="6" t="e">
        <f t="shared" si="12"/>
        <v>#DIV/0!</v>
      </c>
      <c r="H143" s="65">
        <f t="shared" si="16"/>
        <v>0</v>
      </c>
      <c r="I143" s="65">
        <f t="shared" si="14"/>
        <v>0</v>
      </c>
    </row>
    <row r="144" spans="1:9" s="2" customFormat="1" ht="18.75">
      <c r="A144" s="16" t="s">
        <v>110</v>
      </c>
      <c r="B144" s="77">
        <v>2114.7</v>
      </c>
      <c r="C144" s="57">
        <v>6504.8</v>
      </c>
      <c r="D144" s="80">
        <f>2094</f>
        <v>2094</v>
      </c>
      <c r="E144" s="17">
        <f>D144/D106*100</f>
        <v>4.979241272060606</v>
      </c>
      <c r="F144" s="107">
        <f t="shared" si="17"/>
        <v>99.02113775003546</v>
      </c>
      <c r="G144" s="6">
        <f t="shared" si="12"/>
        <v>32.1916123478047</v>
      </c>
      <c r="H144" s="65">
        <f t="shared" si="16"/>
        <v>20.699999999999818</v>
      </c>
      <c r="I144" s="65">
        <f t="shared" si="14"/>
        <v>4410.8</v>
      </c>
    </row>
    <row r="145" spans="1:12" s="2" customFormat="1" ht="18.75" customHeight="1">
      <c r="A145" s="16" t="s">
        <v>97</v>
      </c>
      <c r="B145" s="77">
        <v>602.7</v>
      </c>
      <c r="C145" s="57">
        <v>602.7</v>
      </c>
      <c r="D145" s="80">
        <f>568.7</f>
        <v>568.7</v>
      </c>
      <c r="E145" s="17">
        <f>D145/D106*100</f>
        <v>1.352289642512353</v>
      </c>
      <c r="F145" s="107">
        <f t="shared" si="17"/>
        <v>94.35871909739507</v>
      </c>
      <c r="G145" s="6">
        <f t="shared" si="12"/>
        <v>94.35871909739507</v>
      </c>
      <c r="H145" s="65">
        <f t="shared" si="16"/>
        <v>34</v>
      </c>
      <c r="I145" s="65">
        <f t="shared" si="14"/>
        <v>34</v>
      </c>
      <c r="K145" s="42"/>
      <c r="L145" s="42"/>
    </row>
    <row r="146" spans="1:12" s="2" customFormat="1" ht="19.5" customHeight="1">
      <c r="A146" s="16" t="s">
        <v>64</v>
      </c>
      <c r="B146" s="77">
        <v>27094.2</v>
      </c>
      <c r="C146" s="57">
        <v>298394.8</v>
      </c>
      <c r="D146" s="80">
        <f>26548.7+545.5</f>
        <v>27094.2</v>
      </c>
      <c r="E146" s="17">
        <f>D146/D106*100</f>
        <v>64.42624588035552</v>
      </c>
      <c r="F146" s="6">
        <f t="shared" si="17"/>
        <v>100</v>
      </c>
      <c r="G146" s="6">
        <f t="shared" si="12"/>
        <v>9.079983967549033</v>
      </c>
      <c r="H146" s="65">
        <f t="shared" si="16"/>
        <v>0</v>
      </c>
      <c r="I146" s="65">
        <f t="shared" si="14"/>
        <v>271300.6</v>
      </c>
      <c r="K146" s="99"/>
      <c r="L146" s="42"/>
    </row>
    <row r="147" spans="1:12" s="2" customFormat="1" ht="18.75">
      <c r="A147" s="16" t="s">
        <v>108</v>
      </c>
      <c r="B147" s="77">
        <v>7250.4</v>
      </c>
      <c r="C147" s="57">
        <v>29001.6</v>
      </c>
      <c r="D147" s="80">
        <f>805.6+805.6+805.6+805.6+805.6+805.6+805.6</f>
        <v>5639.200000000001</v>
      </c>
      <c r="E147" s="17">
        <f>D147/D106*100</f>
        <v>13.409234661606579</v>
      </c>
      <c r="F147" s="6">
        <f t="shared" si="15"/>
        <v>77.77777777777779</v>
      </c>
      <c r="G147" s="6">
        <f t="shared" si="12"/>
        <v>19.444444444444446</v>
      </c>
      <c r="H147" s="65">
        <f t="shared" si="16"/>
        <v>1611.199999999999</v>
      </c>
      <c r="I147" s="65">
        <f t="shared" si="14"/>
        <v>23362.399999999998</v>
      </c>
      <c r="K147" s="42"/>
      <c r="L147" s="42"/>
    </row>
    <row r="148" spans="1:12" s="2" customFormat="1" ht="19.5" thickBot="1">
      <c r="A148" s="38" t="s">
        <v>36</v>
      </c>
      <c r="B148" s="81">
        <f>B43+B68+B71+B76+B78+B86+B101+B106+B99+B83+B97</f>
        <v>53169.000000000015</v>
      </c>
      <c r="C148" s="81">
        <f>C43+C68+C71+C76+C78+C86+C101+C106+C99+C83+C97</f>
        <v>386792.89999999997</v>
      </c>
      <c r="D148" s="57">
        <f>D43+D68+D71+D76+D78+D86+D101+D106+D99+D83+D97</f>
        <v>43567.600000000006</v>
      </c>
      <c r="E148" s="17"/>
      <c r="F148" s="17"/>
      <c r="G148" s="6"/>
      <c r="H148" s="65"/>
      <c r="I148" s="57"/>
      <c r="K148" s="42"/>
      <c r="L148" s="42"/>
    </row>
    <row r="149" spans="1:12" ht="19.5" thickBot="1">
      <c r="A149" s="13" t="s">
        <v>19</v>
      </c>
      <c r="B149" s="51">
        <f>B6+B18+B33+B43+B51+B58+B68+B71+B76+B78+B86+B89+B94+B101+B106+B99+B83+B97+B45</f>
        <v>281681.30000000005</v>
      </c>
      <c r="C149" s="51">
        <f>C6+C18+C33+C43+C51+C58+C68+C71+C76+C78+C86+C89+C94+C101+C106+C99+C83+C97+C45</f>
        <v>1257667.2000000002</v>
      </c>
      <c r="D149" s="51">
        <f>D6+D18+D33+D43+D51+D58+D68+D71+D76+D78+D86+D89+D94+D101+D106+D99+D83+D97+D45</f>
        <v>205988.2</v>
      </c>
      <c r="E149" s="35">
        <v>100</v>
      </c>
      <c r="F149" s="3">
        <f>D149/B149*100</f>
        <v>73.12810612561074</v>
      </c>
      <c r="G149" s="3">
        <f aca="true" t="shared" si="18" ref="G149:G155">D149/C149*100</f>
        <v>16.37859363749011</v>
      </c>
      <c r="H149" s="51">
        <f aca="true" t="shared" si="19" ref="H149:H155">B149-D149</f>
        <v>75693.10000000003</v>
      </c>
      <c r="I149" s="51">
        <f aca="true" t="shared" si="20" ref="I149:I155">C149-D149</f>
        <v>1051679.0000000002</v>
      </c>
      <c r="K149" s="43"/>
      <c r="L149" s="44"/>
    </row>
    <row r="150" spans="1:12" ht="18.75">
      <c r="A150" s="20" t="s">
        <v>5</v>
      </c>
      <c r="B150" s="64">
        <f>B8+B20+B34+B52+B59+B90+B114+B118+B46+B138+B130+B102</f>
        <v>139001.6</v>
      </c>
      <c r="C150" s="64">
        <f>C8+C20+C34+C52+C59+C90+C114+C118+C46+C138+C130+C102</f>
        <v>581359.5999999997</v>
      </c>
      <c r="D150" s="64">
        <f>D8+D20+D34+D52+D59+D90+D114+D118+D46+D138+D130+D102</f>
        <v>108990.59999999999</v>
      </c>
      <c r="E150" s="6">
        <f>D150/D149*100</f>
        <v>52.91108908180176</v>
      </c>
      <c r="F150" s="6">
        <f aca="true" t="shared" si="21" ref="F150:F161">D150/B150*100</f>
        <v>78.40960104056354</v>
      </c>
      <c r="G150" s="6">
        <f t="shared" si="18"/>
        <v>18.747535948490405</v>
      </c>
      <c r="H150" s="65">
        <f t="shared" si="19"/>
        <v>30011.000000000015</v>
      </c>
      <c r="I150" s="76">
        <f t="shared" si="20"/>
        <v>472368.99999999977</v>
      </c>
      <c r="K150" s="43"/>
      <c r="L150" s="44"/>
    </row>
    <row r="151" spans="1:12" ht="18.75">
      <c r="A151" s="20" t="s">
        <v>0</v>
      </c>
      <c r="B151" s="65">
        <f>B11+B23+B36+B55+B61+B91+B49+B139+B108+B111+B95+B136</f>
        <v>41440.200000000004</v>
      </c>
      <c r="C151" s="65">
        <f>C11+C23+C36+C55+C61+C91+C49+C139+C108+C111+C95+C136</f>
        <v>114263.80000000002</v>
      </c>
      <c r="D151" s="65">
        <f>D11+D23+D36+D55+D61+D91+D49+D139+D108+D111+D95+D136</f>
        <v>23703.399999999998</v>
      </c>
      <c r="E151" s="6">
        <f>D151/D149*100</f>
        <v>11.507164002598206</v>
      </c>
      <c r="F151" s="6">
        <f t="shared" si="21"/>
        <v>57.19904826714156</v>
      </c>
      <c r="G151" s="6">
        <f t="shared" si="18"/>
        <v>20.74445274881458</v>
      </c>
      <c r="H151" s="65">
        <f t="shared" si="19"/>
        <v>17736.800000000007</v>
      </c>
      <c r="I151" s="76">
        <f t="shared" si="20"/>
        <v>90560.40000000002</v>
      </c>
      <c r="K151" s="43"/>
      <c r="L151" s="98"/>
    </row>
    <row r="152" spans="1:12" ht="18.75">
      <c r="A152" s="20" t="s">
        <v>1</v>
      </c>
      <c r="B152" s="64">
        <f>B22+B10+B54+B48+B60+B35+B122</f>
        <v>10403.6</v>
      </c>
      <c r="C152" s="64">
        <f>C22+C10+C54+C48+C60+C35+C122</f>
        <v>32660.300000000003</v>
      </c>
      <c r="D152" s="64">
        <f>D22+D10+D54+D48+D60+D35+D122</f>
        <v>4841.7</v>
      </c>
      <c r="E152" s="6">
        <f>D152/D149*100</f>
        <v>2.3504744446526544</v>
      </c>
      <c r="F152" s="6">
        <f t="shared" si="21"/>
        <v>46.538698142950516</v>
      </c>
      <c r="G152" s="6">
        <f t="shared" si="18"/>
        <v>14.824419861421969</v>
      </c>
      <c r="H152" s="65">
        <f t="shared" si="19"/>
        <v>5561.900000000001</v>
      </c>
      <c r="I152" s="76">
        <f t="shared" si="20"/>
        <v>27818.600000000002</v>
      </c>
      <c r="K152" s="43"/>
      <c r="L152" s="44"/>
    </row>
    <row r="153" spans="1:12" ht="21" customHeight="1">
      <c r="A153" s="20" t="s">
        <v>15</v>
      </c>
      <c r="B153" s="64">
        <f>B12+B24+B103+B62+B38+B92+B128</f>
        <v>6408</v>
      </c>
      <c r="C153" s="64">
        <f>C12+C24+C103+C62+C38+C92+C128</f>
        <v>29295.7</v>
      </c>
      <c r="D153" s="64">
        <f>D12+D24+D103+D62+D38+D92+D128</f>
        <v>4144.8</v>
      </c>
      <c r="E153" s="6">
        <f>D153/D149*100</f>
        <v>2.012154094263652</v>
      </c>
      <c r="F153" s="6">
        <f t="shared" si="21"/>
        <v>64.68164794007491</v>
      </c>
      <c r="G153" s="6">
        <f t="shared" si="18"/>
        <v>14.148151435193562</v>
      </c>
      <c r="H153" s="65">
        <f t="shared" si="19"/>
        <v>2263.2</v>
      </c>
      <c r="I153" s="76">
        <f t="shared" si="20"/>
        <v>25150.9</v>
      </c>
      <c r="K153" s="43"/>
      <c r="L153" s="98"/>
    </row>
    <row r="154" spans="1:12" ht="18.75">
      <c r="A154" s="20" t="s">
        <v>2</v>
      </c>
      <c r="B154" s="64">
        <f>B9+B21+B47+B53+B121</f>
        <v>4467.8</v>
      </c>
      <c r="C154" s="64">
        <f>C9+C21+C47+C53+C121</f>
        <v>20553.1</v>
      </c>
      <c r="D154" s="64">
        <f>D9+D21+D47+D53+D121</f>
        <v>2917.8999999999996</v>
      </c>
      <c r="E154" s="6">
        <f>D154/D149*100</f>
        <v>1.416537452145317</v>
      </c>
      <c r="F154" s="6">
        <f t="shared" si="21"/>
        <v>65.30954832355968</v>
      </c>
      <c r="G154" s="6">
        <f t="shared" si="18"/>
        <v>14.196885141414189</v>
      </c>
      <c r="H154" s="65">
        <f t="shared" si="19"/>
        <v>1549.9000000000005</v>
      </c>
      <c r="I154" s="76">
        <f t="shared" si="20"/>
        <v>17635.199999999997</v>
      </c>
      <c r="K154" s="43"/>
      <c r="L154" s="44"/>
    </row>
    <row r="155" spans="1:12" ht="19.5" thickBot="1">
      <c r="A155" s="20" t="s">
        <v>34</v>
      </c>
      <c r="B155" s="64">
        <f>B149-B150-B151-B152-B153-B154</f>
        <v>79960.10000000002</v>
      </c>
      <c r="C155" s="64">
        <f>C149-C150-C151-C152-C153-C154</f>
        <v>479534.70000000036</v>
      </c>
      <c r="D155" s="64">
        <f>D149-D150-D151-D152-D153-D154</f>
        <v>61389.800000000025</v>
      </c>
      <c r="E155" s="6">
        <f>D155/D149*100</f>
        <v>29.802580924538407</v>
      </c>
      <c r="F155" s="6">
        <f t="shared" si="21"/>
        <v>76.77554180147351</v>
      </c>
      <c r="G155" s="40">
        <f t="shared" si="18"/>
        <v>12.801951558458644</v>
      </c>
      <c r="H155" s="65">
        <f t="shared" si="19"/>
        <v>18570.299999999996</v>
      </c>
      <c r="I155" s="65">
        <f t="shared" si="20"/>
        <v>418144.9000000003</v>
      </c>
      <c r="K155" s="43"/>
      <c r="L155" s="98"/>
    </row>
    <row r="156" spans="1:12" ht="5.25" customHeight="1" thickBot="1">
      <c r="A156" s="32"/>
      <c r="B156" s="82"/>
      <c r="C156" s="83"/>
      <c r="D156" s="83"/>
      <c r="E156" s="18"/>
      <c r="F156" s="18"/>
      <c r="G156" s="18"/>
      <c r="H156" s="18"/>
      <c r="I156" s="19"/>
      <c r="K156" s="43"/>
      <c r="L156" s="43"/>
    </row>
    <row r="157" spans="1:12" ht="18.75">
      <c r="A157" s="29" t="s">
        <v>21</v>
      </c>
      <c r="B157" s="84">
        <v>3910.6</v>
      </c>
      <c r="C157" s="70">
        <v>11264.2</v>
      </c>
      <c r="D157" s="70">
        <f>33</f>
        <v>33</v>
      </c>
      <c r="E157" s="14"/>
      <c r="F157" s="6">
        <f t="shared" si="21"/>
        <v>0.8438602771953152</v>
      </c>
      <c r="G157" s="6">
        <f aca="true" t="shared" si="22" ref="G157:G166">D157/C157*100</f>
        <v>0.29296354823245324</v>
      </c>
      <c r="H157" s="6">
        <f>B157-D157</f>
        <v>3877.6</v>
      </c>
      <c r="I157" s="6">
        <f aca="true" t="shared" si="23" ref="I157:I166">C157-D157</f>
        <v>11231.2</v>
      </c>
      <c r="K157" s="43"/>
      <c r="L157" s="43"/>
    </row>
    <row r="158" spans="1:12" ht="18.75" hidden="1">
      <c r="A158" s="20" t="s">
        <v>22</v>
      </c>
      <c r="B158" s="85"/>
      <c r="C158" s="64"/>
      <c r="D158" s="64"/>
      <c r="E158" s="6"/>
      <c r="F158" s="6" t="e">
        <f t="shared" si="21"/>
        <v>#DIV/0!</v>
      </c>
      <c r="G158" s="6" t="e">
        <f t="shared" si="22"/>
        <v>#DIV/0!</v>
      </c>
      <c r="H158" s="6">
        <f aca="true" t="shared" si="24" ref="H158:H165">B158-D158</f>
        <v>0</v>
      </c>
      <c r="I158" s="6">
        <f t="shared" si="23"/>
        <v>0</v>
      </c>
      <c r="K158" s="43"/>
      <c r="L158" s="43"/>
    </row>
    <row r="159" spans="1:12" ht="18.75">
      <c r="A159" s="20" t="s">
        <v>60</v>
      </c>
      <c r="B159" s="85">
        <v>34623.5</v>
      </c>
      <c r="C159" s="64">
        <v>253351.6</v>
      </c>
      <c r="D159" s="64">
        <f>12.5+3344.4+45.2</f>
        <v>3402.1</v>
      </c>
      <c r="E159" s="6"/>
      <c r="F159" s="6">
        <f t="shared" si="21"/>
        <v>9.825985241237888</v>
      </c>
      <c r="G159" s="6">
        <f t="shared" si="22"/>
        <v>1.3428373848833004</v>
      </c>
      <c r="H159" s="6">
        <f t="shared" si="24"/>
        <v>31221.4</v>
      </c>
      <c r="I159" s="6">
        <f t="shared" si="23"/>
        <v>249949.5</v>
      </c>
      <c r="K159" s="43"/>
      <c r="L159" s="43"/>
    </row>
    <row r="160" spans="1:12" ht="37.5" hidden="1">
      <c r="A160" s="20" t="s">
        <v>69</v>
      </c>
      <c r="B160" s="85"/>
      <c r="C160" s="64"/>
      <c r="D160" s="64"/>
      <c r="E160" s="6"/>
      <c r="F160" s="6" t="e">
        <f t="shared" si="21"/>
        <v>#DIV/0!</v>
      </c>
      <c r="G160" s="6" t="e">
        <f t="shared" si="22"/>
        <v>#DIV/0!</v>
      </c>
      <c r="H160" s="6">
        <f t="shared" si="24"/>
        <v>0</v>
      </c>
      <c r="I160" s="6">
        <f t="shared" si="23"/>
        <v>0</v>
      </c>
      <c r="K160" s="43"/>
      <c r="L160" s="43"/>
    </row>
    <row r="161" spans="1:12" ht="18.75">
      <c r="A161" s="20" t="s">
        <v>13</v>
      </c>
      <c r="B161" s="85">
        <v>2005.7</v>
      </c>
      <c r="C161" s="64">
        <v>9501</v>
      </c>
      <c r="D161" s="64">
        <f>49.9+127.8+39.6+53.8</f>
        <v>271.09999999999997</v>
      </c>
      <c r="E161" s="17"/>
      <c r="F161" s="6">
        <f t="shared" si="21"/>
        <v>13.516478037592858</v>
      </c>
      <c r="G161" s="6">
        <f t="shared" si="22"/>
        <v>2.8533838543311227</v>
      </c>
      <c r="H161" s="6">
        <f t="shared" si="24"/>
        <v>1734.6000000000001</v>
      </c>
      <c r="I161" s="6">
        <f t="shared" si="23"/>
        <v>9229.9</v>
      </c>
      <c r="K161" s="43"/>
      <c r="L161" s="43"/>
    </row>
    <row r="162" spans="1:12" ht="18.75" hidden="1">
      <c r="A162" s="20" t="s">
        <v>26</v>
      </c>
      <c r="B162" s="85"/>
      <c r="C162" s="64"/>
      <c r="D162" s="64"/>
      <c r="E162" s="17"/>
      <c r="F162" s="6" t="e">
        <f>D162/B162*100</f>
        <v>#DIV/0!</v>
      </c>
      <c r="G162" s="6" t="e">
        <f t="shared" si="22"/>
        <v>#DIV/0!</v>
      </c>
      <c r="H162" s="6">
        <f t="shared" si="24"/>
        <v>0</v>
      </c>
      <c r="I162" s="6">
        <f t="shared" si="23"/>
        <v>0</v>
      </c>
      <c r="K162" s="43"/>
      <c r="L162" s="43"/>
    </row>
    <row r="163" spans="1:9" ht="19.5" thickBot="1">
      <c r="A163" s="20" t="s">
        <v>52</v>
      </c>
      <c r="B163" s="85">
        <v>427.2</v>
      </c>
      <c r="C163" s="64">
        <v>1693</v>
      </c>
      <c r="D163" s="64">
        <f>394.4</f>
        <v>394.4</v>
      </c>
      <c r="E163" s="17"/>
      <c r="F163" s="6">
        <f>D163/B163*100</f>
        <v>92.32209737827715</v>
      </c>
      <c r="G163" s="6">
        <f t="shared" si="22"/>
        <v>23.29592439456586</v>
      </c>
      <c r="H163" s="6">
        <f t="shared" si="24"/>
        <v>32.80000000000001</v>
      </c>
      <c r="I163" s="6">
        <f t="shared" si="23"/>
        <v>1298.6</v>
      </c>
    </row>
    <row r="164" spans="1:9" ht="19.5" customHeight="1" hidden="1">
      <c r="A164" s="20" t="s">
        <v>67</v>
      </c>
      <c r="B164" s="85"/>
      <c r="C164" s="64"/>
      <c r="D164" s="64"/>
      <c r="E164" s="17"/>
      <c r="F164" s="6" t="e">
        <f>D164/B164*100</f>
        <v>#DIV/0!</v>
      </c>
      <c r="G164" s="6" t="e">
        <f t="shared" si="22"/>
        <v>#DIV/0!</v>
      </c>
      <c r="H164" s="6">
        <f t="shared" si="24"/>
        <v>0</v>
      </c>
      <c r="I164" s="6">
        <f t="shared" si="23"/>
        <v>0</v>
      </c>
    </row>
    <row r="165" spans="1:9" ht="19.5" hidden="1" thickBot="1">
      <c r="A165" s="20" t="s">
        <v>61</v>
      </c>
      <c r="B165" s="85"/>
      <c r="C165" s="86"/>
      <c r="D165" s="86"/>
      <c r="E165" s="21"/>
      <c r="F165" s="6" t="e">
        <f>D165/B165*100</f>
        <v>#DIV/0!</v>
      </c>
      <c r="G165" s="6" t="e">
        <f t="shared" si="22"/>
        <v>#DIV/0!</v>
      </c>
      <c r="H165" s="6">
        <f t="shared" si="24"/>
        <v>0</v>
      </c>
      <c r="I165" s="6">
        <f t="shared" si="23"/>
        <v>0</v>
      </c>
    </row>
    <row r="166" spans="1:9" ht="19.5" thickBot="1">
      <c r="A166" s="13" t="s">
        <v>20</v>
      </c>
      <c r="B166" s="87">
        <f>B149+B157+B161+B162+B158+B165+B164+B159+B163+B160</f>
        <v>322648.30000000005</v>
      </c>
      <c r="C166" s="87">
        <f>C149+C157+C161+C162+C158+C165+C164+C159+C163+C160</f>
        <v>1533477.0000000002</v>
      </c>
      <c r="D166" s="87">
        <f>D149+D157+D161+D162+D158+D165+D164+D159+D163+D160</f>
        <v>210088.80000000002</v>
      </c>
      <c r="E166" s="22"/>
      <c r="F166" s="3">
        <f>D166/B166*100</f>
        <v>65.11387166769514</v>
      </c>
      <c r="G166" s="3">
        <f t="shared" si="22"/>
        <v>13.700159832850442</v>
      </c>
      <c r="H166" s="3">
        <f>B166-D166</f>
        <v>112559.50000000003</v>
      </c>
      <c r="I166" s="3">
        <f t="shared" si="23"/>
        <v>1323388.2000000002</v>
      </c>
    </row>
    <row r="167" spans="7:8" ht="12.75">
      <c r="G167" s="23"/>
      <c r="H167" s="23"/>
    </row>
    <row r="168" spans="7:9" ht="12.75">
      <c r="G168" s="23"/>
      <c r="H168" s="23"/>
      <c r="I168" s="23"/>
    </row>
    <row r="169" spans="7:8" ht="12.75">
      <c r="G169" s="23"/>
      <c r="H169" s="23"/>
    </row>
    <row r="170" spans="7:8" ht="12.75">
      <c r="G170" s="23"/>
      <c r="H170" s="23"/>
    </row>
    <row r="171" spans="7:8" ht="12.75">
      <c r="G171" s="23"/>
      <c r="H171" s="23"/>
    </row>
    <row r="172" spans="7:8" ht="12.75">
      <c r="G172" s="23"/>
      <c r="H172" s="23"/>
    </row>
    <row r="173" spans="7:8" ht="12.75">
      <c r="G173" s="23"/>
      <c r="H173" s="23"/>
    </row>
    <row r="174" spans="7:8" ht="12.75">
      <c r="G174" s="23"/>
      <c r="H174" s="23"/>
    </row>
    <row r="175" spans="7:8" ht="12.75">
      <c r="G175" s="23"/>
      <c r="H175" s="23"/>
    </row>
    <row r="176" spans="7:8" ht="12.75">
      <c r="G176" s="23"/>
      <c r="H176" s="23"/>
    </row>
    <row r="177" spans="7:8" ht="12.75">
      <c r="G177" s="23"/>
      <c r="H177" s="23"/>
    </row>
    <row r="178" spans="7:8" ht="12.75">
      <c r="G178" s="23"/>
      <c r="H178" s="23"/>
    </row>
    <row r="179" spans="7:8" ht="12.75">
      <c r="G179" s="23"/>
      <c r="H179" s="23"/>
    </row>
    <row r="180" spans="7:8" ht="12.75">
      <c r="G180" s="23"/>
      <c r="H180" s="23"/>
    </row>
    <row r="181" spans="7:8" ht="12.75">
      <c r="G181" s="23"/>
      <c r="H181" s="23"/>
    </row>
    <row r="182" spans="7:8" ht="12.75">
      <c r="G182" s="23"/>
      <c r="H182" s="23"/>
    </row>
    <row r="183" spans="7:8" ht="12.75">
      <c r="G183" s="23"/>
      <c r="H183" s="23"/>
    </row>
    <row r="184" spans="7:8" ht="12.75">
      <c r="G184" s="23"/>
      <c r="H184" s="23"/>
    </row>
    <row r="185" spans="7:8" ht="12.75">
      <c r="G185" s="23"/>
      <c r="H185" s="23"/>
    </row>
    <row r="186" spans="7:8" ht="12.75">
      <c r="G186" s="23"/>
      <c r="H186" s="23"/>
    </row>
    <row r="187" spans="7:8" ht="12.75">
      <c r="G187" s="23"/>
      <c r="H187" s="23"/>
    </row>
    <row r="188" spans="7:8" ht="12.75">
      <c r="G188" s="23"/>
      <c r="H188" s="23"/>
    </row>
    <row r="189" spans="7:8" ht="12.75">
      <c r="G189" s="23"/>
      <c r="H189" s="23"/>
    </row>
    <row r="190" spans="7:8" ht="12.75">
      <c r="G190" s="23"/>
      <c r="H190" s="23"/>
    </row>
    <row r="191" spans="7:8" ht="12.75">
      <c r="G191" s="23"/>
      <c r="H191" s="23"/>
    </row>
    <row r="192" spans="7:8" ht="12.75">
      <c r="G192" s="23"/>
      <c r="H192" s="23"/>
    </row>
    <row r="193" spans="7:8" ht="12.75">
      <c r="G193" s="23"/>
      <c r="H193" s="23"/>
    </row>
    <row r="194" spans="7:8" ht="12.75">
      <c r="G194" s="23"/>
      <c r="H194" s="23"/>
    </row>
    <row r="195" spans="7:8" ht="12.75">
      <c r="G195" s="23"/>
      <c r="H195" s="23"/>
    </row>
    <row r="196" spans="7:8" ht="12.75">
      <c r="G196" s="23"/>
      <c r="H196" s="23"/>
    </row>
    <row r="197" spans="7:8" ht="12.75">
      <c r="G197" s="23"/>
      <c r="H197" s="23"/>
    </row>
    <row r="198" spans="7:8" ht="12.75">
      <c r="G198" s="23"/>
      <c r="H198" s="23"/>
    </row>
    <row r="199" spans="7:8" ht="12.75">
      <c r="G199" s="23"/>
      <c r="H199" s="23"/>
    </row>
    <row r="200" spans="7:8" ht="12.75">
      <c r="G200" s="23"/>
      <c r="H200" s="23"/>
    </row>
    <row r="201" spans="7:8" ht="12.75">
      <c r="G201" s="23"/>
      <c r="H201" s="23"/>
    </row>
    <row r="202" spans="7:8" ht="12.75">
      <c r="G202" s="23"/>
      <c r="H202" s="23"/>
    </row>
    <row r="203" spans="7:8" ht="12.75">
      <c r="G203" s="23"/>
      <c r="H203" s="23"/>
    </row>
    <row r="204" spans="7:8" ht="12.75">
      <c r="G204" s="23"/>
      <c r="H204" s="23"/>
    </row>
    <row r="205" spans="7:8" ht="12.75">
      <c r="G205" s="23"/>
      <c r="H205" s="23"/>
    </row>
    <row r="206" spans="7:8" ht="12.75">
      <c r="G206" s="23"/>
      <c r="H206" s="23"/>
    </row>
    <row r="207" spans="7:8" ht="12.75">
      <c r="G207" s="23"/>
      <c r="H207" s="23"/>
    </row>
    <row r="208" spans="7:8" ht="12.75">
      <c r="G208" s="23"/>
      <c r="H208" s="23"/>
    </row>
    <row r="209" spans="7:8" ht="12.75">
      <c r="G209" s="23"/>
      <c r="H209" s="23"/>
    </row>
    <row r="210" spans="7:8" ht="12.75">
      <c r="G210" s="23"/>
      <c r="H210" s="23"/>
    </row>
    <row r="211" spans="7:8" ht="12.75">
      <c r="G211" s="23"/>
      <c r="H211" s="23"/>
    </row>
    <row r="212" spans="7:8" ht="12.75">
      <c r="G212" s="23"/>
      <c r="H212" s="23"/>
    </row>
    <row r="213" spans="7:8" ht="12.75">
      <c r="G213" s="23"/>
      <c r="H213" s="23"/>
    </row>
    <row r="214" spans="7:8" ht="12.75">
      <c r="G214" s="23"/>
      <c r="H214" s="23"/>
    </row>
    <row r="215" spans="7:8" ht="12.75">
      <c r="G215" s="23"/>
      <c r="H215" s="23"/>
    </row>
    <row r="216" spans="7:8" ht="12.75">
      <c r="G216" s="23"/>
      <c r="H216" s="23"/>
    </row>
    <row r="217" spans="7:8" ht="12.75">
      <c r="G217" s="23"/>
      <c r="H217" s="23"/>
    </row>
    <row r="218" spans="7:8" ht="12.75">
      <c r="G218" s="23"/>
      <c r="H218" s="23"/>
    </row>
    <row r="219" spans="7:8" ht="12.75">
      <c r="G219" s="23"/>
      <c r="H219" s="23"/>
    </row>
    <row r="220" spans="7:8" ht="12.75">
      <c r="G220" s="23"/>
      <c r="H220" s="23"/>
    </row>
    <row r="221" spans="7:8" ht="12.75">
      <c r="G221" s="23"/>
      <c r="H221" s="23"/>
    </row>
    <row r="222" spans="7:8" ht="12.75">
      <c r="G222" s="23"/>
      <c r="H222" s="23"/>
    </row>
    <row r="223" spans="7:8" ht="12.75">
      <c r="G223" s="23"/>
      <c r="H223" s="23"/>
    </row>
    <row r="224" spans="7:8" ht="12.75">
      <c r="G224" s="23"/>
      <c r="H224" s="23"/>
    </row>
    <row r="225" spans="7:8" ht="12.75">
      <c r="G225" s="23"/>
      <c r="H225" s="23"/>
    </row>
    <row r="226" spans="7:8" ht="12.75">
      <c r="G226" s="23"/>
      <c r="H226" s="23"/>
    </row>
    <row r="227" spans="7:8" ht="12.75">
      <c r="G227" s="23"/>
      <c r="H227" s="23"/>
    </row>
    <row r="228" spans="7:8" ht="12.75">
      <c r="G228" s="23"/>
      <c r="H228" s="23"/>
    </row>
    <row r="229" spans="7:8" ht="12.75">
      <c r="G229" s="23"/>
      <c r="H229" s="23"/>
    </row>
    <row r="230" spans="7:8" ht="12.75">
      <c r="G230" s="23"/>
      <c r="H230" s="23"/>
    </row>
    <row r="231" spans="7:8" ht="12.75">
      <c r="G231" s="23"/>
      <c r="H231" s="23"/>
    </row>
    <row r="232" spans="7:8" ht="12.75">
      <c r="G232" s="23"/>
      <c r="H232" s="23"/>
    </row>
    <row r="233" spans="7:8" ht="12.75">
      <c r="G233" s="23"/>
      <c r="H233" s="23"/>
    </row>
    <row r="234" spans="7:8" ht="12.75">
      <c r="G234" s="23"/>
      <c r="H234" s="23"/>
    </row>
    <row r="235" spans="7:8" ht="12.75">
      <c r="G235" s="23"/>
      <c r="H235" s="23"/>
    </row>
    <row r="236" spans="7:8" ht="12.75">
      <c r="G236" s="23"/>
      <c r="H236" s="23"/>
    </row>
    <row r="237" spans="7:8" ht="12.75">
      <c r="G237" s="23"/>
      <c r="H237" s="23"/>
    </row>
    <row r="238" spans="7:8" ht="12.75">
      <c r="G238" s="23"/>
      <c r="H238" s="23"/>
    </row>
    <row r="239" spans="7:8" ht="12.75">
      <c r="G239" s="23"/>
      <c r="H239" s="23"/>
    </row>
    <row r="240" spans="7:8" ht="12.75">
      <c r="G240" s="23"/>
      <c r="H240" s="23"/>
    </row>
    <row r="241" spans="7:8" ht="12.75">
      <c r="G241" s="23"/>
      <c r="H241" s="23"/>
    </row>
    <row r="242" spans="7:8" ht="12.75">
      <c r="G242" s="23"/>
      <c r="H242" s="23"/>
    </row>
    <row r="243" spans="7:8" ht="12.75">
      <c r="G243" s="23"/>
      <c r="H243" s="23"/>
    </row>
    <row r="244" spans="7:8" ht="12.75">
      <c r="G244" s="23"/>
      <c r="H244" s="23"/>
    </row>
    <row r="245" spans="7:8" ht="12.75">
      <c r="G245" s="23"/>
      <c r="H245" s="23"/>
    </row>
    <row r="246" spans="7:8" ht="12.75">
      <c r="G246" s="23"/>
      <c r="H246" s="23"/>
    </row>
    <row r="247" spans="7:8" ht="12.75">
      <c r="G247" s="23"/>
      <c r="H247" s="23"/>
    </row>
    <row r="248" spans="7:8" ht="12.75">
      <c r="G248" s="23"/>
      <c r="H248" s="23"/>
    </row>
    <row r="249" spans="7:8" ht="12.75">
      <c r="G249" s="23"/>
      <c r="H249" s="23"/>
    </row>
    <row r="250" spans="7:8" ht="12.75">
      <c r="G250" s="23"/>
      <c r="H250" s="23"/>
    </row>
    <row r="251" spans="7:8" ht="12.75">
      <c r="G251" s="23"/>
      <c r="H251" s="23"/>
    </row>
    <row r="252" spans="7:8" ht="12.75">
      <c r="G252" s="23"/>
      <c r="H252" s="23"/>
    </row>
    <row r="253" spans="7:8" ht="12.75">
      <c r="G253" s="23"/>
      <c r="H253" s="23"/>
    </row>
    <row r="254" spans="7:8" ht="12.75">
      <c r="G254" s="23"/>
      <c r="H254" s="23"/>
    </row>
    <row r="255" spans="7:8" ht="12.75">
      <c r="G255" s="23"/>
      <c r="H255" s="23"/>
    </row>
    <row r="256" spans="7:8" ht="12.75">
      <c r="G256" s="23"/>
      <c r="H256" s="23"/>
    </row>
    <row r="257" spans="7:8" ht="12.75">
      <c r="G257" s="23"/>
      <c r="H257" s="23"/>
    </row>
    <row r="258" spans="7:8" ht="12.75">
      <c r="G258" s="23"/>
      <c r="H258" s="23"/>
    </row>
    <row r="259" spans="7:8" ht="12.75">
      <c r="G259" s="23"/>
      <c r="H259" s="23"/>
    </row>
    <row r="260" spans="7:8" ht="12.75">
      <c r="G260" s="23"/>
      <c r="H260" s="23"/>
    </row>
    <row r="261" spans="7:8" ht="12.75">
      <c r="G261" s="23"/>
      <c r="H261" s="23"/>
    </row>
    <row r="262" spans="7:8" ht="12.75">
      <c r="G262" s="23"/>
      <c r="H262" s="23"/>
    </row>
    <row r="263" spans="7:8" ht="12.75">
      <c r="G263" s="23"/>
      <c r="H263" s="23"/>
    </row>
    <row r="264" spans="7:8" ht="12.75">
      <c r="G264" s="23"/>
      <c r="H264" s="23"/>
    </row>
    <row r="265" spans="7:8" ht="12.75">
      <c r="G265" s="23"/>
      <c r="H265" s="23"/>
    </row>
    <row r="266" spans="7:8" ht="12.75">
      <c r="G266" s="23"/>
      <c r="H266" s="23"/>
    </row>
    <row r="267" spans="7:8" ht="12.75">
      <c r="G267" s="23"/>
      <c r="H267" s="23"/>
    </row>
    <row r="268" spans="7:8" ht="12.75">
      <c r="G268" s="23"/>
      <c r="H268" s="23"/>
    </row>
    <row r="269" spans="7:8" ht="12.75">
      <c r="G269" s="23"/>
      <c r="H269" s="23"/>
    </row>
    <row r="270" spans="7:8" ht="12.75">
      <c r="G270" s="23"/>
      <c r="H270" s="23"/>
    </row>
    <row r="271" spans="7:8" ht="12.75">
      <c r="G271" s="23"/>
      <c r="H271" s="23"/>
    </row>
    <row r="272" spans="7:8" ht="12.75">
      <c r="G272" s="23"/>
      <c r="H272" s="23"/>
    </row>
    <row r="273" spans="7:8" ht="12.75">
      <c r="G273" s="23"/>
      <c r="H273" s="23"/>
    </row>
    <row r="274" spans="7:8" ht="12.75">
      <c r="G274" s="23"/>
      <c r="H274" s="23"/>
    </row>
    <row r="275" spans="7:8" ht="12.75">
      <c r="G275" s="23"/>
      <c r="H275" s="23"/>
    </row>
    <row r="276" spans="7:8" ht="12.75">
      <c r="G276" s="23"/>
      <c r="H276" s="23"/>
    </row>
    <row r="277" spans="7:8" ht="12.75">
      <c r="G277" s="23"/>
      <c r="H277" s="23"/>
    </row>
    <row r="278" spans="7:8" ht="12.75">
      <c r="G278" s="23"/>
      <c r="H278" s="23"/>
    </row>
    <row r="279" spans="7:8" ht="12.75">
      <c r="G279" s="23"/>
      <c r="H279" s="23"/>
    </row>
    <row r="280" spans="7:8" ht="12.75">
      <c r="G280" s="23"/>
      <c r="H280" s="23"/>
    </row>
    <row r="281" spans="7:8" ht="12.75">
      <c r="G281" s="23"/>
      <c r="H281" s="23"/>
    </row>
    <row r="282" spans="7:8" ht="12.75">
      <c r="G282" s="23"/>
      <c r="H282" s="23"/>
    </row>
    <row r="283" spans="7:8" ht="12.75">
      <c r="G283" s="23"/>
      <c r="H283" s="23"/>
    </row>
    <row r="284" spans="7:8" ht="12.75">
      <c r="G284" s="23"/>
      <c r="H284" s="23"/>
    </row>
    <row r="285" spans="7:8" ht="12.75">
      <c r="G285" s="23"/>
      <c r="H285" s="23"/>
    </row>
    <row r="286" spans="7:8" ht="12.75">
      <c r="G286" s="23"/>
      <c r="H286" s="23"/>
    </row>
    <row r="287" spans="7:8" ht="12.75">
      <c r="G287" s="23"/>
      <c r="H287" s="23"/>
    </row>
    <row r="288" spans="7:8" ht="12.75">
      <c r="G288" s="23"/>
      <c r="H288" s="23"/>
    </row>
    <row r="289" spans="7:8" ht="12.75">
      <c r="G289" s="23"/>
      <c r="H289" s="23"/>
    </row>
    <row r="290" spans="7:8" ht="12.75">
      <c r="G290" s="23"/>
      <c r="H290" s="23"/>
    </row>
    <row r="291" spans="7:8" ht="12.75">
      <c r="G291" s="23"/>
      <c r="H291" s="23"/>
    </row>
    <row r="292" spans="7:8" ht="12.75">
      <c r="G292" s="23"/>
      <c r="H292" s="23"/>
    </row>
    <row r="293" spans="7:8" ht="12.75">
      <c r="G293" s="23"/>
      <c r="H293" s="23"/>
    </row>
    <row r="294" spans="7:8" ht="12.75">
      <c r="G294" s="23"/>
      <c r="H294" s="23"/>
    </row>
    <row r="295" spans="7:8" ht="12.75">
      <c r="G295" s="23"/>
      <c r="H295" s="23"/>
    </row>
    <row r="296" spans="7:8" ht="12.75">
      <c r="G296" s="23"/>
      <c r="H296" s="23"/>
    </row>
    <row r="297" spans="7:8" ht="12.75">
      <c r="G297" s="23"/>
      <c r="H297" s="23"/>
    </row>
    <row r="298" spans="7:8" ht="12.75">
      <c r="G298" s="23"/>
      <c r="H298" s="23"/>
    </row>
    <row r="299" spans="7:8" ht="12.75">
      <c r="G299" s="23"/>
      <c r="H299" s="23"/>
    </row>
    <row r="300" spans="7:8" ht="12.75">
      <c r="G300" s="23"/>
      <c r="H300" s="23"/>
    </row>
    <row r="301" spans="7:8" ht="12.75">
      <c r="G301" s="23"/>
      <c r="H301" s="23"/>
    </row>
    <row r="302" spans="7:8" ht="12.75">
      <c r="G302" s="23"/>
      <c r="H302" s="23"/>
    </row>
    <row r="303" spans="7:8" ht="12.75">
      <c r="G303" s="23"/>
      <c r="H303" s="23"/>
    </row>
    <row r="304" spans="7:8" ht="12.75">
      <c r="G304" s="23"/>
      <c r="H304" s="23"/>
    </row>
    <row r="305" spans="7:8" ht="12.75">
      <c r="G305" s="23"/>
      <c r="H305" s="23"/>
    </row>
    <row r="306" spans="7:8" ht="12.75">
      <c r="G306" s="23"/>
      <c r="H306" s="23"/>
    </row>
    <row r="307" spans="7:8" ht="12.75">
      <c r="G307" s="23"/>
      <c r="H307" s="23"/>
    </row>
    <row r="308" spans="7:8" ht="12.75">
      <c r="G308" s="23"/>
      <c r="H308" s="23"/>
    </row>
    <row r="309" spans="7:8" ht="12.75">
      <c r="G309" s="23"/>
      <c r="H309" s="23"/>
    </row>
    <row r="310" spans="7:8" ht="12.75">
      <c r="G310" s="23"/>
      <c r="H310" s="23"/>
    </row>
    <row r="311" spans="7:8" ht="12.75">
      <c r="G311" s="23"/>
      <c r="H311" s="23"/>
    </row>
    <row r="312" spans="7:8" ht="12.75">
      <c r="G312" s="23"/>
      <c r="H312" s="23"/>
    </row>
    <row r="313" spans="7:8" ht="12.75">
      <c r="G313" s="23"/>
      <c r="H313" s="23"/>
    </row>
    <row r="314" spans="7:8" ht="12.75">
      <c r="G314" s="23"/>
      <c r="H314" s="23"/>
    </row>
    <row r="315" spans="7:8" ht="12.75">
      <c r="G315" s="23"/>
      <c r="H315" s="23"/>
    </row>
    <row r="316" spans="7:8" ht="12.75">
      <c r="G316" s="23"/>
      <c r="H316" s="23"/>
    </row>
    <row r="317" spans="7:8" ht="12.75">
      <c r="G317" s="23"/>
      <c r="H317" s="23"/>
    </row>
    <row r="318" spans="7:8" ht="12.75">
      <c r="G318" s="23"/>
      <c r="H318" s="23"/>
    </row>
    <row r="319" spans="7:8" ht="12.75">
      <c r="G319" s="23"/>
      <c r="H319" s="23"/>
    </row>
    <row r="320" spans="7:8" ht="12.75">
      <c r="G320" s="23"/>
      <c r="H320" s="23"/>
    </row>
    <row r="321" spans="7:8" ht="12.75">
      <c r="G321" s="23"/>
      <c r="H321" s="23"/>
    </row>
    <row r="322" spans="7:8" ht="12.75">
      <c r="G322" s="23"/>
      <c r="H322" s="23"/>
    </row>
    <row r="323" spans="7:8" ht="12.75">
      <c r="G323" s="23"/>
      <c r="H323" s="23"/>
    </row>
    <row r="324" spans="7:8" ht="12.75">
      <c r="G324" s="23"/>
      <c r="H324" s="23"/>
    </row>
    <row r="325" spans="7:8" ht="12.75">
      <c r="G325" s="23"/>
      <c r="H325" s="23"/>
    </row>
    <row r="326" spans="7:8" ht="12.75">
      <c r="G326" s="23"/>
      <c r="H326" s="23"/>
    </row>
    <row r="327" spans="7:8" ht="12.75">
      <c r="G327" s="23"/>
      <c r="H327" s="23"/>
    </row>
    <row r="328" spans="7:8" ht="12.75">
      <c r="G328" s="23"/>
      <c r="H328" s="23"/>
    </row>
    <row r="329" spans="7:8" ht="12.75">
      <c r="G329" s="23"/>
      <c r="H329" s="23"/>
    </row>
    <row r="330" spans="7:8" ht="12.75">
      <c r="G330" s="23"/>
      <c r="H330" s="23"/>
    </row>
    <row r="331" spans="7:8" ht="12.75">
      <c r="G331" s="23"/>
      <c r="H331" s="23"/>
    </row>
    <row r="332" spans="7:8" ht="12.75">
      <c r="G332" s="23"/>
      <c r="H332" s="23"/>
    </row>
    <row r="333" spans="7:8" ht="12.75">
      <c r="G333" s="23"/>
      <c r="H333" s="23"/>
    </row>
    <row r="334" spans="7:8" ht="12.75">
      <c r="G334" s="23"/>
      <c r="H334" s="23"/>
    </row>
    <row r="335" spans="7:8" ht="12.75">
      <c r="G335" s="23"/>
      <c r="H335" s="23"/>
    </row>
    <row r="336" spans="7:8" ht="12.75">
      <c r="G336" s="23"/>
      <c r="H336" s="23"/>
    </row>
    <row r="337" spans="7:8" ht="12.75">
      <c r="G337" s="23"/>
      <c r="H337" s="23"/>
    </row>
    <row r="338" spans="7:8" ht="12.75">
      <c r="G338" s="23"/>
      <c r="H338" s="23"/>
    </row>
    <row r="339" spans="7:8" ht="12.75">
      <c r="G339" s="23"/>
      <c r="H339" s="23"/>
    </row>
    <row r="340" spans="7:8" ht="12.75">
      <c r="G340" s="23"/>
      <c r="H340" s="23"/>
    </row>
    <row r="341" spans="7:8" ht="12.75">
      <c r="G341" s="23"/>
      <c r="H341" s="23"/>
    </row>
    <row r="342" spans="7:8" ht="12.75">
      <c r="G342" s="23"/>
      <c r="H342" s="23"/>
    </row>
    <row r="343" spans="7:8" ht="12.75">
      <c r="G343" s="23"/>
      <c r="H343" s="23"/>
    </row>
    <row r="344" spans="7:8" ht="12.75">
      <c r="G344" s="23"/>
      <c r="H344" s="23"/>
    </row>
    <row r="345" spans="7:8" ht="12.75">
      <c r="G345" s="23"/>
      <c r="H345" s="23"/>
    </row>
    <row r="346" spans="7:8" ht="12.75">
      <c r="G346" s="23"/>
      <c r="H346" s="23"/>
    </row>
    <row r="347" spans="7:8" ht="12.75">
      <c r="G347" s="23"/>
      <c r="H347" s="23"/>
    </row>
    <row r="348" spans="7:8" ht="12.75">
      <c r="G348" s="23"/>
      <c r="H348" s="23"/>
    </row>
    <row r="349" spans="7:8" ht="12.75">
      <c r="G349" s="23"/>
      <c r="H349" s="23"/>
    </row>
    <row r="350" spans="7:8" ht="12.75">
      <c r="G350" s="23"/>
      <c r="H350" s="23"/>
    </row>
    <row r="351" spans="7:8" ht="12.75">
      <c r="G351" s="23"/>
      <c r="H351" s="23"/>
    </row>
    <row r="352" spans="7:8" ht="12.75">
      <c r="G352" s="23"/>
      <c r="H352" s="23"/>
    </row>
    <row r="353" spans="7:8" ht="12.75">
      <c r="G353" s="23"/>
      <c r="H353" s="23"/>
    </row>
    <row r="354" spans="7:8" ht="12.75">
      <c r="G354" s="23"/>
      <c r="H354" s="23"/>
    </row>
    <row r="355" spans="7:8" ht="12.75">
      <c r="G355" s="23"/>
      <c r="H355" s="23"/>
    </row>
    <row r="356" spans="7:8" ht="12.75">
      <c r="G356" s="23"/>
      <c r="H356" s="23"/>
    </row>
    <row r="357" spans="7:8" ht="12.75">
      <c r="G357" s="23"/>
      <c r="H357" s="23"/>
    </row>
    <row r="358" spans="7:8" ht="12.75">
      <c r="G358" s="23"/>
      <c r="H358" s="23"/>
    </row>
    <row r="359" spans="7:8" ht="12.75">
      <c r="G359" s="23"/>
      <c r="H359" s="23"/>
    </row>
    <row r="360" spans="7:8" ht="12.75">
      <c r="G360" s="23"/>
      <c r="H360" s="23"/>
    </row>
    <row r="361" spans="7:8" ht="12.75">
      <c r="G361" s="23"/>
      <c r="H361" s="23"/>
    </row>
    <row r="362" spans="7:8" ht="12.75">
      <c r="G362" s="23"/>
      <c r="H362" s="23"/>
    </row>
    <row r="363" spans="7:8" ht="12.75">
      <c r="G363" s="23"/>
      <c r="H363" s="23"/>
    </row>
    <row r="364" spans="7:8" ht="12.75">
      <c r="G364" s="23"/>
      <c r="H364" s="23"/>
    </row>
    <row r="365" spans="7:8" ht="12.75">
      <c r="G365" s="23"/>
      <c r="H365" s="23"/>
    </row>
    <row r="366" spans="7:8" ht="12.75">
      <c r="G366" s="23"/>
      <c r="H366" s="23"/>
    </row>
    <row r="367" spans="7:8" ht="12.75">
      <c r="G367" s="23"/>
      <c r="H367" s="23"/>
    </row>
    <row r="368" spans="7:8" ht="12.75">
      <c r="G368" s="23"/>
      <c r="H368" s="23"/>
    </row>
    <row r="369" spans="7:8" ht="12.75">
      <c r="G369" s="23"/>
      <c r="H369" s="23"/>
    </row>
    <row r="370" spans="7:8" ht="12.75">
      <c r="G370" s="23"/>
      <c r="H370" s="23"/>
    </row>
    <row r="371" spans="7:8" ht="12.75">
      <c r="G371" s="23"/>
      <c r="H371" s="23"/>
    </row>
    <row r="372" spans="7:8" ht="12.75">
      <c r="G372" s="23"/>
      <c r="H372" s="23"/>
    </row>
    <row r="373" spans="7:8" ht="12.75">
      <c r="G373" s="23"/>
      <c r="H373" s="23"/>
    </row>
    <row r="374" spans="7:8" ht="12.75">
      <c r="G374" s="23"/>
      <c r="H374" s="23"/>
    </row>
    <row r="375" spans="7:8" ht="12.75">
      <c r="G375" s="23"/>
      <c r="H375" s="23"/>
    </row>
    <row r="376" spans="7:8" ht="12.75">
      <c r="G376" s="23"/>
      <c r="H376" s="23"/>
    </row>
    <row r="377" spans="7:8" ht="12.75">
      <c r="G377" s="23"/>
      <c r="H377" s="23"/>
    </row>
    <row r="378" spans="7:8" ht="12.75">
      <c r="G378" s="23"/>
      <c r="H378" s="23"/>
    </row>
    <row r="379" spans="7:8" ht="12.75">
      <c r="G379" s="23"/>
      <c r="H379" s="23"/>
    </row>
    <row r="380" spans="7:8" ht="12.75">
      <c r="G380" s="23"/>
      <c r="H380" s="23"/>
    </row>
    <row r="381" spans="7:8" ht="12.75">
      <c r="G381" s="23"/>
      <c r="H381" s="23"/>
    </row>
    <row r="382" spans="7:8" ht="12.75">
      <c r="G382" s="23"/>
      <c r="H382" s="23"/>
    </row>
    <row r="383" spans="7:8" ht="12.75">
      <c r="G383" s="23"/>
      <c r="H383" s="23"/>
    </row>
    <row r="384" spans="7:8" ht="12.75">
      <c r="G384" s="23"/>
      <c r="H384" s="23"/>
    </row>
    <row r="385" spans="7:8" ht="12.75">
      <c r="G385" s="23"/>
      <c r="H385" s="23"/>
    </row>
    <row r="386" spans="7:8" ht="12.75">
      <c r="G386" s="23"/>
      <c r="H386" s="23"/>
    </row>
    <row r="387" spans="7:8" ht="12.75">
      <c r="G387" s="23"/>
      <c r="H387" s="23"/>
    </row>
    <row r="388" spans="7:8" ht="12.75">
      <c r="G388" s="23"/>
      <c r="H388" s="23"/>
    </row>
    <row r="389" spans="7:8" ht="12.75">
      <c r="G389" s="23"/>
      <c r="H389" s="23"/>
    </row>
    <row r="390" spans="7:8" ht="12.75">
      <c r="G390" s="23"/>
      <c r="H390" s="23"/>
    </row>
    <row r="391" spans="7:8" ht="12.75">
      <c r="G391" s="23"/>
      <c r="H391" s="23"/>
    </row>
    <row r="392" spans="7:8" ht="12.75">
      <c r="G392" s="23"/>
      <c r="H392" s="23"/>
    </row>
    <row r="393" spans="7:8" ht="12.75">
      <c r="G393" s="23"/>
      <c r="H393" s="23"/>
    </row>
    <row r="394" spans="7:8" ht="12.75">
      <c r="G394" s="23"/>
      <c r="H394" s="23"/>
    </row>
    <row r="395" spans="7:8" ht="12.75">
      <c r="G395" s="23"/>
      <c r="H395" s="23"/>
    </row>
    <row r="396" spans="7:8" ht="12.75">
      <c r="G396" s="23"/>
      <c r="H396" s="23"/>
    </row>
    <row r="397" spans="7:8" ht="12.75">
      <c r="G397" s="23"/>
      <c r="H397" s="23"/>
    </row>
    <row r="398" spans="7:8" ht="12.75">
      <c r="G398" s="23"/>
      <c r="H398" s="23"/>
    </row>
    <row r="399" spans="7:8" ht="12.75">
      <c r="G399" s="23"/>
      <c r="H399" s="23"/>
    </row>
    <row r="400" spans="7:8" ht="12.75">
      <c r="G400" s="23"/>
      <c r="H400" s="23"/>
    </row>
    <row r="401" spans="7:8" ht="12.75">
      <c r="G401" s="23"/>
      <c r="H401" s="23"/>
    </row>
    <row r="402" spans="7:8" ht="12.75">
      <c r="G402" s="23"/>
      <c r="H402" s="23"/>
    </row>
    <row r="403" spans="7:8" ht="12.75">
      <c r="G403" s="23"/>
      <c r="H403" s="23"/>
    </row>
    <row r="404" spans="7:8" ht="12.75">
      <c r="G404" s="23"/>
      <c r="H404" s="23"/>
    </row>
    <row r="405" spans="7:8" ht="12.75">
      <c r="G405" s="23"/>
      <c r="H405" s="23"/>
    </row>
  </sheetData>
  <sheetProtection/>
  <mergeCells count="10">
    <mergeCell ref="A1:I1"/>
    <mergeCell ref="I3:I5"/>
    <mergeCell ref="G3:G5"/>
    <mergeCell ref="A3:A5"/>
    <mergeCell ref="D3:D5"/>
    <mergeCell ref="E3:E5"/>
    <mergeCell ref="C3:C5"/>
    <mergeCell ref="B3:B5"/>
    <mergeCell ref="F3:F5"/>
    <mergeCell ref="H3:H5"/>
  </mergeCells>
  <conditionalFormatting sqref="E8:E17">
    <cfRule type="cellIs" priority="1" dxfId="0" operator="lessThan" stopIfTrue="1">
      <formula>0</formula>
    </cfRule>
  </conditionalFormatting>
  <conditionalFormatting sqref="H6:I166">
    <cfRule type="cellIs" priority="2" dxfId="1" operator="lessThan" stopIfTrue="1">
      <formula>0</formula>
    </cfRule>
  </conditionalFormatting>
  <printOptions/>
  <pageMargins left="0.52" right="0.16" top="0.2" bottom="0.19" header="0.17" footer="0.18"/>
  <pageSetup horizontalDpi="600" verticalDpi="600" orientation="portrait" paperSize="9" scale="43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2"/>
  <sheetViews>
    <sheetView zoomScalePageLayoutView="0" workbookViewId="0" topLeftCell="A4">
      <selection activeCell="R22" sqref="R22"/>
    </sheetView>
  </sheetViews>
  <sheetFormatPr defaultColWidth="9.00390625" defaultRowHeight="12.75"/>
  <cols>
    <col min="5" max="5" width="11.75390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205988.2</v>
      </c>
    </row>
  </sheetData>
  <sheetProtection/>
  <printOptions/>
  <pageMargins left="0.6" right="0.27" top="0.55" bottom="0.59" header="0.5" footer="0.5"/>
  <pageSetup fitToHeight="1" fitToWidth="1" horizontalDpi="600" verticalDpi="600" orientation="landscape" paperSize="9" scale="94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12" sqref="Q12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P20" sqref="P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5">
      <selection activeCell="S20" sqref="S20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T17" sqref="T17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">
      <selection activeCell="Q18" sqref="Q18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Q20" sqref="Q20"/>
    </sheetView>
  </sheetViews>
  <sheetFormatPr defaultColWidth="9.00390625" defaultRowHeight="12.75"/>
  <sheetData/>
  <sheetProtection/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5">
      <selection activeCell="R18" sqref="R18"/>
    </sheetView>
  </sheetViews>
  <sheetFormatPr defaultColWidth="9.00390625" defaultRowHeight="12.75"/>
  <cols>
    <col min="2" max="2" width="8.25390625" style="0" customWidth="1"/>
  </cols>
  <sheetData/>
  <sheetProtection/>
  <printOptions/>
  <pageMargins left="0.75" right="0.75" top="1" bottom="1" header="0.5" footer="0.5"/>
  <pageSetup fitToHeight="1" fitToWidth="1" horizontalDpi="600" verticalDpi="600" orientation="landscape" paperSize="9" scale="97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2"/>
  <sheetViews>
    <sheetView zoomScalePageLayoutView="0" workbookViewId="0" topLeftCell="A1">
      <selection activeCell="P19" sqref="P19"/>
    </sheetView>
  </sheetViews>
  <sheetFormatPr defaultColWidth="9.00390625" defaultRowHeight="12.75"/>
  <cols>
    <col min="5" max="5" width="13.625" style="0" customWidth="1"/>
  </cols>
  <sheetData>
    <row r="1" spans="1:5" ht="15.75">
      <c r="A1" s="4" t="s">
        <v>39</v>
      </c>
      <c r="B1" s="4"/>
      <c r="C1" s="4"/>
      <c r="D1" s="4" t="s">
        <v>37</v>
      </c>
      <c r="E1" s="5">
        <f>'аналіз фінансування'!C149</f>
        <v>1257667.2000000002</v>
      </c>
    </row>
    <row r="2" spans="1:5" ht="15.75">
      <c r="A2" s="4"/>
      <c r="B2" s="4"/>
      <c r="C2" s="4"/>
      <c r="D2" s="4" t="s">
        <v>38</v>
      </c>
      <c r="E2" s="5">
        <f>'аналіз фінансування'!D149</f>
        <v>205988.2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Vladimir Ivanov</dc:creator>
  <cp:keywords/>
  <dc:description/>
  <cp:lastModifiedBy>plan3</cp:lastModifiedBy>
  <cp:lastPrinted>2016-02-29T14:59:09Z</cp:lastPrinted>
  <dcterms:created xsi:type="dcterms:W3CDTF">2000-06-20T04:48:00Z</dcterms:created>
  <dcterms:modified xsi:type="dcterms:W3CDTF">2016-03-16T06:36:03Z</dcterms:modified>
  <cp:category/>
  <cp:version/>
  <cp:contentType/>
  <cp:contentStatus/>
</cp:coreProperties>
</file>